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ictures\COURSES\DATA ANALYTICS (PRO) COURSES\REAL PORTFOLIO PROJECTS\EXCEL\"/>
    </mc:Choice>
  </mc:AlternateContent>
  <xr:revisionPtr revIDLastSave="0" documentId="13_ncr:1_{95CF288D-786D-4FA8-A52F-EFA71C070306}" xr6:coauthVersionLast="47" xr6:coauthVersionMax="47" xr10:uidLastSave="{00000000-0000-0000-0000-000000000000}"/>
  <bookViews>
    <workbookView minimized="1" xWindow="1820" yWindow="1820" windowWidth="14400" windowHeight="7810" tabRatio="744" xr2:uid="{433E7AE1-26F1-47B9-BFD0-3A1BBDAEC886}"/>
  </bookViews>
  <sheets>
    <sheet name="EU" sheetId="7" r:id="rId1"/>
    <sheet name="GU" sheetId="6" r:id="rId2"/>
    <sheet name="US30" sheetId="5" r:id="rId3"/>
    <sheet name="OIL" sheetId="3" r:id="rId4"/>
    <sheet name="BTC" sheetId="4" r:id="rId5"/>
    <sheet name="GENERAL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12" i="4" l="1"/>
  <c r="AT23" i="4"/>
  <c r="AT24" i="4"/>
  <c r="AT25" i="4"/>
  <c r="AT26" i="4"/>
  <c r="AT27" i="4"/>
  <c r="AT28" i="4"/>
  <c r="AT29" i="4"/>
  <c r="AS23" i="4"/>
  <c r="AS24" i="4"/>
  <c r="AS25" i="4"/>
  <c r="AS26" i="4"/>
  <c r="AV26" i="4" s="1"/>
  <c r="AS27" i="4"/>
  <c r="AV27" i="4" s="1"/>
  <c r="AS28" i="4"/>
  <c r="AV28" i="4" s="1"/>
  <c r="AS29" i="4"/>
  <c r="AV29" i="4" s="1"/>
  <c r="AU23" i="4"/>
  <c r="AU24" i="4"/>
  <c r="AU25" i="4"/>
  <c r="AU26" i="4"/>
  <c r="AU27" i="4"/>
  <c r="AU28" i="4"/>
  <c r="AU29" i="4"/>
  <c r="AR23" i="4"/>
  <c r="AR24" i="4"/>
  <c r="AR25" i="4"/>
  <c r="AR26" i="4"/>
  <c r="AR27" i="4"/>
  <c r="AR28" i="4"/>
  <c r="AR29" i="4"/>
  <c r="AT5" i="4"/>
  <c r="AT6" i="4"/>
  <c r="AT7" i="4"/>
  <c r="AT8" i="4"/>
  <c r="AT9" i="4"/>
  <c r="AT10" i="4"/>
  <c r="AT11" i="4"/>
  <c r="AS5" i="4"/>
  <c r="AS6" i="4"/>
  <c r="AS7" i="4"/>
  <c r="AS8" i="4"/>
  <c r="AV8" i="4" s="1"/>
  <c r="AS9" i="4"/>
  <c r="AV9" i="4" s="1"/>
  <c r="AS10" i="4"/>
  <c r="AV10" i="4" s="1"/>
  <c r="AS11" i="4"/>
  <c r="AV11" i="4" s="1"/>
  <c r="AU5" i="4"/>
  <c r="AU6" i="4"/>
  <c r="AU7" i="4"/>
  <c r="AU8" i="4"/>
  <c r="AU9" i="4"/>
  <c r="AU10" i="4"/>
  <c r="AU11" i="4"/>
  <c r="AR5" i="4"/>
  <c r="AR6" i="4"/>
  <c r="AR7" i="4"/>
  <c r="AR8" i="4"/>
  <c r="AR9" i="4"/>
  <c r="AR10" i="4"/>
  <c r="AR11" i="4"/>
  <c r="AT14" i="4"/>
  <c r="AT15" i="4"/>
  <c r="AT16" i="4"/>
  <c r="AT17" i="4"/>
  <c r="AT18" i="4"/>
  <c r="AT19" i="4"/>
  <c r="AT20" i="4"/>
  <c r="AS14" i="4"/>
  <c r="AS15" i="4"/>
  <c r="AS16" i="4"/>
  <c r="AS17" i="4"/>
  <c r="AV17" i="4" s="1"/>
  <c r="AS18" i="4"/>
  <c r="AV18" i="4" s="1"/>
  <c r="AS19" i="4"/>
  <c r="AV19" i="4" s="1"/>
  <c r="AS20" i="4"/>
  <c r="AV20" i="4" s="1"/>
  <c r="AU14" i="4"/>
  <c r="AU15" i="4"/>
  <c r="AU16" i="4"/>
  <c r="AU17" i="4"/>
  <c r="AU18" i="4"/>
  <c r="AU19" i="4"/>
  <c r="AU20" i="4"/>
  <c r="AR14" i="4"/>
  <c r="AR15" i="4"/>
  <c r="AR16" i="4"/>
  <c r="AR17" i="4"/>
  <c r="AR18" i="4"/>
  <c r="AR19" i="4"/>
  <c r="AR20" i="4"/>
  <c r="AN21" i="4" l="1"/>
  <c r="AN20" i="4"/>
  <c r="AN19" i="4"/>
  <c r="AN18" i="4"/>
  <c r="AN17" i="4"/>
  <c r="AN16" i="4"/>
  <c r="AN15" i="4"/>
  <c r="AM21" i="4"/>
  <c r="AM20" i="4"/>
  <c r="AM19" i="4"/>
  <c r="AM18" i="4"/>
  <c r="AM17" i="4"/>
  <c r="AM16" i="4"/>
  <c r="AM15" i="4"/>
  <c r="AK21" i="4"/>
  <c r="AK20" i="4"/>
  <c r="AK19" i="4"/>
  <c r="AK18" i="4"/>
  <c r="AK17" i="4"/>
  <c r="AK16" i="4"/>
  <c r="AK15" i="4"/>
  <c r="AL21" i="4"/>
  <c r="AO21" i="4" s="1"/>
  <c r="AL20" i="4"/>
  <c r="AO20" i="4" s="1"/>
  <c r="AL19" i="4"/>
  <c r="AO19" i="4" s="1"/>
  <c r="AL18" i="4"/>
  <c r="AO18" i="4" s="1"/>
  <c r="AL17" i="4"/>
  <c r="AL16" i="4"/>
  <c r="AL15" i="4"/>
  <c r="AN11" i="4"/>
  <c r="AN10" i="4"/>
  <c r="AN9" i="4"/>
  <c r="AN8" i="4"/>
  <c r="AN7" i="4"/>
  <c r="AN6" i="4"/>
  <c r="AN5" i="4"/>
  <c r="AM11" i="4"/>
  <c r="AM10" i="4"/>
  <c r="AM9" i="4"/>
  <c r="AM8" i="4"/>
  <c r="AM7" i="4"/>
  <c r="AM6" i="4"/>
  <c r="AM5" i="4"/>
  <c r="AL11" i="4"/>
  <c r="AL10" i="4"/>
  <c r="AL9" i="4"/>
  <c r="AL8" i="4"/>
  <c r="AL7" i="4"/>
  <c r="AL6" i="4"/>
  <c r="AL5" i="4"/>
  <c r="AK11" i="4"/>
  <c r="AK10" i="4"/>
  <c r="AK9" i="4"/>
  <c r="AK8" i="4"/>
  <c r="AK7" i="4"/>
  <c r="AK6" i="4"/>
  <c r="AO10" i="4" l="1"/>
  <c r="AO11" i="4"/>
  <c r="AO8" i="4"/>
  <c r="AO9" i="4"/>
  <c r="AK5" i="4"/>
  <c r="Y20" i="4"/>
  <c r="Y19" i="4"/>
  <c r="Y18" i="4"/>
  <c r="X20" i="4"/>
  <c r="X19" i="4"/>
  <c r="X18" i="4"/>
  <c r="W20" i="4"/>
  <c r="W19" i="4"/>
  <c r="W18" i="4"/>
  <c r="V20" i="4"/>
  <c r="V19" i="4"/>
  <c r="V18" i="4"/>
  <c r="AN30" i="7"/>
  <c r="AM30" i="7"/>
  <c r="AL30" i="7"/>
  <c r="AK30" i="7"/>
  <c r="AC30" i="7"/>
  <c r="Y30" i="7"/>
  <c r="X30" i="7"/>
  <c r="W30" i="7"/>
  <c r="Z30" i="7" s="1"/>
  <c r="V30" i="7"/>
  <c r="AN29" i="7"/>
  <c r="AM29" i="7"/>
  <c r="AL29" i="7"/>
  <c r="AK29" i="7"/>
  <c r="AC29" i="7"/>
  <c r="Y29" i="7"/>
  <c r="X29" i="7"/>
  <c r="W29" i="7"/>
  <c r="Z29" i="7" s="1"/>
  <c r="V29" i="7"/>
  <c r="AN28" i="7"/>
  <c r="AM28" i="7"/>
  <c r="AL28" i="7"/>
  <c r="AO28" i="7" s="1"/>
  <c r="AK28" i="7"/>
  <c r="AC28" i="7"/>
  <c r="Y28" i="7"/>
  <c r="X28" i="7"/>
  <c r="W28" i="7"/>
  <c r="V28" i="7"/>
  <c r="AC27" i="7"/>
  <c r="AN25" i="7"/>
  <c r="AM25" i="7"/>
  <c r="AL25" i="7"/>
  <c r="AK25" i="7"/>
  <c r="AN24" i="7"/>
  <c r="AM24" i="7"/>
  <c r="AL24" i="7"/>
  <c r="AK24" i="7"/>
  <c r="AO24" i="7" s="1"/>
  <c r="AC24" i="7"/>
  <c r="V24" i="7"/>
  <c r="AN23" i="7"/>
  <c r="AM23" i="7"/>
  <c r="AL23" i="7"/>
  <c r="AO23" i="7" s="1"/>
  <c r="AK23" i="7"/>
  <c r="AC23" i="7"/>
  <c r="V23" i="7"/>
  <c r="AC22" i="7"/>
  <c r="V22" i="7"/>
  <c r="AC21" i="7"/>
  <c r="AN20" i="7"/>
  <c r="AM20" i="7"/>
  <c r="AL20" i="7"/>
  <c r="AK20" i="7"/>
  <c r="AC20" i="7"/>
  <c r="AN19" i="7"/>
  <c r="AM19" i="7"/>
  <c r="AL19" i="7"/>
  <c r="AK19" i="7"/>
  <c r="AC19" i="7"/>
  <c r="AN18" i="7"/>
  <c r="AM18" i="7"/>
  <c r="AL18" i="7"/>
  <c r="AO18" i="7" s="1"/>
  <c r="AK18" i="7"/>
  <c r="Y18" i="7"/>
  <c r="X18" i="7"/>
  <c r="W18" i="7"/>
  <c r="V18" i="7"/>
  <c r="Y17" i="7"/>
  <c r="X17" i="7"/>
  <c r="W17" i="7"/>
  <c r="V17" i="7"/>
  <c r="Y16" i="7"/>
  <c r="X16" i="7"/>
  <c r="W16" i="7"/>
  <c r="V16" i="7"/>
  <c r="Y15" i="7"/>
  <c r="X15" i="7"/>
  <c r="W15" i="7"/>
  <c r="V15" i="7"/>
  <c r="AF14" i="7"/>
  <c r="AE14" i="7"/>
  <c r="AD14" i="7"/>
  <c r="AC14" i="7"/>
  <c r="Y14" i="7"/>
  <c r="X14" i="7"/>
  <c r="W14" i="7"/>
  <c r="V14" i="7"/>
  <c r="Z18" i="7" s="1"/>
  <c r="AF13" i="7"/>
  <c r="AE13" i="7"/>
  <c r="AD13" i="7"/>
  <c r="AC13" i="7"/>
  <c r="AN12" i="7"/>
  <c r="AM12" i="7"/>
  <c r="AL12" i="7"/>
  <c r="AK12" i="7"/>
  <c r="AF12" i="7"/>
  <c r="AE12" i="7"/>
  <c r="AD12" i="7"/>
  <c r="AC12" i="7"/>
  <c r="AN11" i="7"/>
  <c r="AM11" i="7"/>
  <c r="AL11" i="7"/>
  <c r="AK11" i="7"/>
  <c r="Y11" i="7"/>
  <c r="X11" i="7"/>
  <c r="W11" i="7"/>
  <c r="V11" i="7"/>
  <c r="AN10" i="7"/>
  <c r="AM10" i="7"/>
  <c r="AL10" i="7"/>
  <c r="AO10" i="7" s="1"/>
  <c r="AK10" i="7"/>
  <c r="Y10" i="7"/>
  <c r="X10" i="7"/>
  <c r="W10" i="7"/>
  <c r="V10" i="7"/>
  <c r="AF9" i="7"/>
  <c r="AE9" i="7"/>
  <c r="AD9" i="7"/>
  <c r="AC9" i="7"/>
  <c r="AF8" i="7"/>
  <c r="AE8" i="7"/>
  <c r="AD8" i="7"/>
  <c r="AC8" i="7"/>
  <c r="AN7" i="7"/>
  <c r="AM7" i="7"/>
  <c r="AL7" i="7"/>
  <c r="AK7" i="7"/>
  <c r="AN6" i="7"/>
  <c r="AM6" i="7"/>
  <c r="AL6" i="7"/>
  <c r="AO6" i="7" s="1"/>
  <c r="AK6" i="7"/>
  <c r="AN5" i="7"/>
  <c r="AM5" i="7"/>
  <c r="AL5" i="7"/>
  <c r="AO5" i="7" s="1"/>
  <c r="AK5" i="7"/>
  <c r="AC5" i="7"/>
  <c r="V5" i="7"/>
  <c r="AC4" i="7"/>
  <c r="V4" i="7"/>
  <c r="AC3" i="7"/>
  <c r="V3" i="7"/>
  <c r="AN30" i="6"/>
  <c r="AM30" i="6"/>
  <c r="AL30" i="6"/>
  <c r="AK30" i="6"/>
  <c r="AC30" i="6"/>
  <c r="Y30" i="6"/>
  <c r="X30" i="6"/>
  <c r="W30" i="6"/>
  <c r="Z30" i="6" s="1"/>
  <c r="V30" i="6"/>
  <c r="AN29" i="6"/>
  <c r="AM29" i="6"/>
  <c r="AL29" i="6"/>
  <c r="AK29" i="6"/>
  <c r="AC29" i="6"/>
  <c r="Y29" i="6"/>
  <c r="X29" i="6"/>
  <c r="W29" i="6"/>
  <c r="Z29" i="6" s="1"/>
  <c r="V29" i="6"/>
  <c r="AN28" i="6"/>
  <c r="AM28" i="6"/>
  <c r="AL28" i="6"/>
  <c r="AO28" i="6" s="1"/>
  <c r="AK28" i="6"/>
  <c r="AC28" i="6"/>
  <c r="Y28" i="6"/>
  <c r="X28" i="6"/>
  <c r="W28" i="6"/>
  <c r="V28" i="6"/>
  <c r="AC27" i="6"/>
  <c r="AN25" i="6"/>
  <c r="AM25" i="6"/>
  <c r="AL25" i="6"/>
  <c r="AK25" i="6"/>
  <c r="AN24" i="6"/>
  <c r="AM24" i="6"/>
  <c r="AL24" i="6"/>
  <c r="AK24" i="6"/>
  <c r="AO24" i="6" s="1"/>
  <c r="AC24" i="6"/>
  <c r="V24" i="6"/>
  <c r="AN23" i="6"/>
  <c r="AM23" i="6"/>
  <c r="AL23" i="6"/>
  <c r="AO23" i="6" s="1"/>
  <c r="AK23" i="6"/>
  <c r="AC23" i="6"/>
  <c r="V23" i="6"/>
  <c r="AC22" i="6"/>
  <c r="V22" i="6"/>
  <c r="AC21" i="6"/>
  <c r="AN20" i="6"/>
  <c r="AM20" i="6"/>
  <c r="AL20" i="6"/>
  <c r="AK20" i="6"/>
  <c r="AC20" i="6"/>
  <c r="AN19" i="6"/>
  <c r="AM19" i="6"/>
  <c r="AL19" i="6"/>
  <c r="AK19" i="6"/>
  <c r="AC19" i="6"/>
  <c r="AN18" i="6"/>
  <c r="AM18" i="6"/>
  <c r="AL18" i="6"/>
  <c r="AO18" i="6" s="1"/>
  <c r="AK18" i="6"/>
  <c r="Y18" i="6"/>
  <c r="X18" i="6"/>
  <c r="W18" i="6"/>
  <c r="V18" i="6"/>
  <c r="Y17" i="6"/>
  <c r="X17" i="6"/>
  <c r="W17" i="6"/>
  <c r="V17" i="6"/>
  <c r="Y16" i="6"/>
  <c r="X16" i="6"/>
  <c r="W16" i="6"/>
  <c r="V16" i="6"/>
  <c r="Y15" i="6"/>
  <c r="X15" i="6"/>
  <c r="W15" i="6"/>
  <c r="V15" i="6"/>
  <c r="AF14" i="6"/>
  <c r="AE14" i="6"/>
  <c r="AD14" i="6"/>
  <c r="AC14" i="6"/>
  <c r="Y14" i="6"/>
  <c r="X14" i="6"/>
  <c r="W14" i="6"/>
  <c r="V14" i="6"/>
  <c r="Z18" i="6" s="1"/>
  <c r="AF13" i="6"/>
  <c r="AE13" i="6"/>
  <c r="AD13" i="6"/>
  <c r="AC13" i="6"/>
  <c r="AN12" i="6"/>
  <c r="AM12" i="6"/>
  <c r="AL12" i="6"/>
  <c r="AK12" i="6"/>
  <c r="AF12" i="6"/>
  <c r="AE12" i="6"/>
  <c r="AD12" i="6"/>
  <c r="AC12" i="6"/>
  <c r="AN11" i="6"/>
  <c r="AM11" i="6"/>
  <c r="AL11" i="6"/>
  <c r="AK11" i="6"/>
  <c r="Y11" i="6"/>
  <c r="X11" i="6"/>
  <c r="W11" i="6"/>
  <c r="V11" i="6"/>
  <c r="AN10" i="6"/>
  <c r="AM10" i="6"/>
  <c r="AL10" i="6"/>
  <c r="AO10" i="6" s="1"/>
  <c r="AK10" i="6"/>
  <c r="Y10" i="6"/>
  <c r="X10" i="6"/>
  <c r="W10" i="6"/>
  <c r="V10" i="6"/>
  <c r="AF9" i="6"/>
  <c r="AE9" i="6"/>
  <c r="AD9" i="6"/>
  <c r="AC9" i="6"/>
  <c r="AF8" i="6"/>
  <c r="AE8" i="6"/>
  <c r="AD8" i="6"/>
  <c r="AC8" i="6"/>
  <c r="AN7" i="6"/>
  <c r="AM7" i="6"/>
  <c r="AL7" i="6"/>
  <c r="AK7" i="6"/>
  <c r="AN6" i="6"/>
  <c r="AM6" i="6"/>
  <c r="AL6" i="6"/>
  <c r="AO6" i="6" s="1"/>
  <c r="AK6" i="6"/>
  <c r="AN5" i="6"/>
  <c r="AM5" i="6"/>
  <c r="AL5" i="6"/>
  <c r="AO5" i="6" s="1"/>
  <c r="AK5" i="6"/>
  <c r="AC5" i="6"/>
  <c r="V5" i="6"/>
  <c r="AC4" i="6"/>
  <c r="V4" i="6"/>
  <c r="AC3" i="6"/>
  <c r="V3" i="6"/>
  <c r="AN30" i="5"/>
  <c r="AM30" i="5"/>
  <c r="AL30" i="5"/>
  <c r="AK30" i="5"/>
  <c r="AC30" i="5"/>
  <c r="Y30" i="5"/>
  <c r="X30" i="5"/>
  <c r="W30" i="5"/>
  <c r="Z30" i="5" s="1"/>
  <c r="V30" i="5"/>
  <c r="AN29" i="5"/>
  <c r="AM29" i="5"/>
  <c r="AL29" i="5"/>
  <c r="AK29" i="5"/>
  <c r="AC29" i="5"/>
  <c r="Y29" i="5"/>
  <c r="X29" i="5"/>
  <c r="W29" i="5"/>
  <c r="Z29" i="5" s="1"/>
  <c r="V29" i="5"/>
  <c r="AN28" i="5"/>
  <c r="AM28" i="5"/>
  <c r="AL28" i="5"/>
  <c r="AO28" i="5" s="1"/>
  <c r="AK28" i="5"/>
  <c r="AC28" i="5"/>
  <c r="Y28" i="5"/>
  <c r="X28" i="5"/>
  <c r="W28" i="5"/>
  <c r="Z28" i="5" s="1"/>
  <c r="V28" i="5"/>
  <c r="AC27" i="5"/>
  <c r="AN25" i="5"/>
  <c r="AM25" i="5"/>
  <c r="AL25" i="5"/>
  <c r="AK25" i="5"/>
  <c r="AN24" i="5"/>
  <c r="AM24" i="5"/>
  <c r="AL24" i="5"/>
  <c r="AK24" i="5"/>
  <c r="AC24" i="5"/>
  <c r="V24" i="5"/>
  <c r="AN23" i="5"/>
  <c r="AM23" i="5"/>
  <c r="AL23" i="5"/>
  <c r="AK23" i="5"/>
  <c r="AC23" i="5"/>
  <c r="V23" i="5"/>
  <c r="AC22" i="5"/>
  <c r="V22" i="5"/>
  <c r="AC21" i="5"/>
  <c r="AN20" i="5"/>
  <c r="AM20" i="5"/>
  <c r="AL20" i="5"/>
  <c r="AO20" i="5" s="1"/>
  <c r="AK20" i="5"/>
  <c r="AC20" i="5"/>
  <c r="AN19" i="5"/>
  <c r="AM19" i="5"/>
  <c r="AL19" i="5"/>
  <c r="AK19" i="5"/>
  <c r="AO19" i="5" s="1"/>
  <c r="AC19" i="5"/>
  <c r="AN18" i="5"/>
  <c r="AM18" i="5"/>
  <c r="AL18" i="5"/>
  <c r="AO18" i="5" s="1"/>
  <c r="AK18" i="5"/>
  <c r="Y18" i="5"/>
  <c r="X18" i="5"/>
  <c r="W18" i="5"/>
  <c r="V18" i="5"/>
  <c r="Y17" i="5"/>
  <c r="X17" i="5"/>
  <c r="W17" i="5"/>
  <c r="V17" i="5"/>
  <c r="Y16" i="5"/>
  <c r="X16" i="5"/>
  <c r="W16" i="5"/>
  <c r="V16" i="5"/>
  <c r="Y15" i="5"/>
  <c r="X15" i="5"/>
  <c r="W15" i="5"/>
  <c r="V15" i="5"/>
  <c r="AF14" i="5"/>
  <c r="AE14" i="5"/>
  <c r="AD14" i="5"/>
  <c r="AC14" i="5"/>
  <c r="Y14" i="5"/>
  <c r="X14" i="5"/>
  <c r="W14" i="5"/>
  <c r="V14" i="5"/>
  <c r="Z18" i="5" s="1"/>
  <c r="AF13" i="5"/>
  <c r="AE13" i="5"/>
  <c r="AD13" i="5"/>
  <c r="AC13" i="5"/>
  <c r="AN12" i="5"/>
  <c r="AM12" i="5"/>
  <c r="AL12" i="5"/>
  <c r="AK12" i="5"/>
  <c r="AF12" i="5"/>
  <c r="AE12" i="5"/>
  <c r="AD12" i="5"/>
  <c r="AC12" i="5"/>
  <c r="AN11" i="5"/>
  <c r="AM11" i="5"/>
  <c r="AL11" i="5"/>
  <c r="AK11" i="5"/>
  <c r="Y11" i="5"/>
  <c r="X11" i="5"/>
  <c r="W11" i="5"/>
  <c r="V11" i="5"/>
  <c r="AN10" i="5"/>
  <c r="AM10" i="5"/>
  <c r="AL10" i="5"/>
  <c r="AO10" i="5" s="1"/>
  <c r="AK10" i="5"/>
  <c r="Y10" i="5"/>
  <c r="X10" i="5"/>
  <c r="W10" i="5"/>
  <c r="V10" i="5"/>
  <c r="AF9" i="5"/>
  <c r="AE9" i="5"/>
  <c r="AD9" i="5"/>
  <c r="AC9" i="5"/>
  <c r="AF8" i="5"/>
  <c r="AE8" i="5"/>
  <c r="AD8" i="5"/>
  <c r="AC8" i="5"/>
  <c r="AN7" i="5"/>
  <c r="AM7" i="5"/>
  <c r="AL7" i="5"/>
  <c r="AK7" i="5"/>
  <c r="AN6" i="5"/>
  <c r="AM6" i="5"/>
  <c r="AL6" i="5"/>
  <c r="AO6" i="5" s="1"/>
  <c r="AK6" i="5"/>
  <c r="AN5" i="5"/>
  <c r="AM5" i="5"/>
  <c r="AL5" i="5"/>
  <c r="AO5" i="5" s="1"/>
  <c r="AK5" i="5"/>
  <c r="AC5" i="5"/>
  <c r="V5" i="5"/>
  <c r="AC4" i="5"/>
  <c r="V4" i="5"/>
  <c r="AC3" i="5"/>
  <c r="V3" i="5"/>
  <c r="AC30" i="4"/>
  <c r="Y31" i="4"/>
  <c r="X31" i="4"/>
  <c r="W31" i="4"/>
  <c r="V31" i="4"/>
  <c r="AC29" i="4"/>
  <c r="Y30" i="4"/>
  <c r="X30" i="4"/>
  <c r="W30" i="4"/>
  <c r="V30" i="4"/>
  <c r="AC28" i="4"/>
  <c r="Y29" i="4"/>
  <c r="X29" i="4"/>
  <c r="W29" i="4"/>
  <c r="V29" i="4"/>
  <c r="AC27" i="4"/>
  <c r="AC24" i="4"/>
  <c r="V25" i="4"/>
  <c r="AC23" i="4"/>
  <c r="V24" i="4"/>
  <c r="AC22" i="4"/>
  <c r="V23" i="4"/>
  <c r="AC21" i="4"/>
  <c r="AC20" i="4"/>
  <c r="AC19" i="4"/>
  <c r="Y17" i="4"/>
  <c r="X17" i="4"/>
  <c r="W17" i="4"/>
  <c r="V17" i="4"/>
  <c r="Y16" i="4"/>
  <c r="X16" i="4"/>
  <c r="W16" i="4"/>
  <c r="V16" i="4"/>
  <c r="Y15" i="4"/>
  <c r="X15" i="4"/>
  <c r="W15" i="4"/>
  <c r="V15" i="4"/>
  <c r="AF14" i="4"/>
  <c r="AE14" i="4"/>
  <c r="AD14" i="4"/>
  <c r="AC14" i="4"/>
  <c r="Y14" i="4"/>
  <c r="X14" i="4"/>
  <c r="W14" i="4"/>
  <c r="V14" i="4"/>
  <c r="Z20" i="4" s="1"/>
  <c r="AF13" i="4"/>
  <c r="AE13" i="4"/>
  <c r="AD13" i="4"/>
  <c r="AC13" i="4"/>
  <c r="AF12" i="4"/>
  <c r="AE12" i="4"/>
  <c r="AD12" i="4"/>
  <c r="AC12" i="4"/>
  <c r="Y11" i="4"/>
  <c r="X11" i="4"/>
  <c r="W11" i="4"/>
  <c r="V11" i="4"/>
  <c r="Y10" i="4"/>
  <c r="X10" i="4"/>
  <c r="W10" i="4"/>
  <c r="V10" i="4"/>
  <c r="Z11" i="4" s="1"/>
  <c r="AF9" i="4"/>
  <c r="AE9" i="4"/>
  <c r="AD9" i="4"/>
  <c r="AC9" i="4"/>
  <c r="AF8" i="4"/>
  <c r="AE8" i="4"/>
  <c r="AD8" i="4"/>
  <c r="AC8" i="4"/>
  <c r="AO6" i="4"/>
  <c r="AC5" i="4"/>
  <c r="V5" i="4"/>
  <c r="AC4" i="4"/>
  <c r="V4" i="4"/>
  <c r="AC3" i="4"/>
  <c r="V3" i="4"/>
  <c r="AN30" i="3"/>
  <c r="AM30" i="3"/>
  <c r="AL30" i="3"/>
  <c r="AO30" i="3" s="1"/>
  <c r="AK30" i="3"/>
  <c r="AC30" i="3"/>
  <c r="Y30" i="3"/>
  <c r="X30" i="3"/>
  <c r="W30" i="3"/>
  <c r="V30" i="3"/>
  <c r="AN29" i="3"/>
  <c r="AM29" i="3"/>
  <c r="AL29" i="3"/>
  <c r="AK29" i="3"/>
  <c r="AO29" i="3" s="1"/>
  <c r="AC29" i="3"/>
  <c r="Y29" i="3"/>
  <c r="X29" i="3"/>
  <c r="W29" i="3"/>
  <c r="Z29" i="3" s="1"/>
  <c r="V29" i="3"/>
  <c r="AN28" i="3"/>
  <c r="AM28" i="3"/>
  <c r="AL28" i="3"/>
  <c r="AO28" i="3" s="1"/>
  <c r="AK28" i="3"/>
  <c r="AC28" i="3"/>
  <c r="Y28" i="3"/>
  <c r="X28" i="3"/>
  <c r="W28" i="3"/>
  <c r="Z28" i="3" s="1"/>
  <c r="V28" i="3"/>
  <c r="AC27" i="3"/>
  <c r="AN25" i="3"/>
  <c r="AM25" i="3"/>
  <c r="AL25" i="3"/>
  <c r="AK25" i="3"/>
  <c r="AN24" i="3"/>
  <c r="AM24" i="3"/>
  <c r="AL24" i="3"/>
  <c r="AK24" i="3"/>
  <c r="AO24" i="3" s="1"/>
  <c r="AC24" i="3"/>
  <c r="V24" i="3"/>
  <c r="AN23" i="3"/>
  <c r="AM23" i="3"/>
  <c r="AL23" i="3"/>
  <c r="AO23" i="3" s="1"/>
  <c r="AK23" i="3"/>
  <c r="AC23" i="3"/>
  <c r="V23" i="3"/>
  <c r="AC22" i="3"/>
  <c r="V22" i="3"/>
  <c r="AC21" i="3"/>
  <c r="AN20" i="3"/>
  <c r="AM20" i="3"/>
  <c r="AL20" i="3"/>
  <c r="AO20" i="3" s="1"/>
  <c r="AK20" i="3"/>
  <c r="AC20" i="3"/>
  <c r="AN19" i="3"/>
  <c r="AM19" i="3"/>
  <c r="AL19" i="3"/>
  <c r="AK19" i="3"/>
  <c r="AC19" i="3"/>
  <c r="AN18" i="3"/>
  <c r="AM18" i="3"/>
  <c r="AL18" i="3"/>
  <c r="AK18" i="3"/>
  <c r="Y18" i="3"/>
  <c r="X18" i="3"/>
  <c r="W18" i="3"/>
  <c r="V18" i="3"/>
  <c r="Y17" i="3"/>
  <c r="X17" i="3"/>
  <c r="W17" i="3"/>
  <c r="V17" i="3"/>
  <c r="Y16" i="3"/>
  <c r="X16" i="3"/>
  <c r="W16" i="3"/>
  <c r="V16" i="3"/>
  <c r="Y15" i="3"/>
  <c r="X15" i="3"/>
  <c r="W15" i="3"/>
  <c r="V15" i="3"/>
  <c r="AF14" i="3"/>
  <c r="AE14" i="3"/>
  <c r="AD14" i="3"/>
  <c r="AC14" i="3"/>
  <c r="Y14" i="3"/>
  <c r="X14" i="3"/>
  <c r="W14" i="3"/>
  <c r="V14" i="3"/>
  <c r="Z18" i="3" s="1"/>
  <c r="AF13" i="3"/>
  <c r="AE13" i="3"/>
  <c r="AD13" i="3"/>
  <c r="AC13" i="3"/>
  <c r="AN12" i="3"/>
  <c r="AM12" i="3"/>
  <c r="AL12" i="3"/>
  <c r="AK12" i="3"/>
  <c r="AF12" i="3"/>
  <c r="AE12" i="3"/>
  <c r="AD12" i="3"/>
  <c r="AC12" i="3"/>
  <c r="AN11" i="3"/>
  <c r="AM11" i="3"/>
  <c r="AL11" i="3"/>
  <c r="AK11" i="3"/>
  <c r="Y11" i="3"/>
  <c r="X11" i="3"/>
  <c r="W11" i="3"/>
  <c r="V11" i="3"/>
  <c r="AN10" i="3"/>
  <c r="AM10" i="3"/>
  <c r="AL10" i="3"/>
  <c r="AO10" i="3" s="1"/>
  <c r="AK10" i="3"/>
  <c r="Y10" i="3"/>
  <c r="X10" i="3"/>
  <c r="W10" i="3"/>
  <c r="V10" i="3"/>
  <c r="AF9" i="3"/>
  <c r="AE9" i="3"/>
  <c r="AD9" i="3"/>
  <c r="AC9" i="3"/>
  <c r="AF8" i="3"/>
  <c r="AE8" i="3"/>
  <c r="AD8" i="3"/>
  <c r="AC8" i="3"/>
  <c r="AN7" i="3"/>
  <c r="AM7" i="3"/>
  <c r="AL7" i="3"/>
  <c r="AK7" i="3"/>
  <c r="AN6" i="3"/>
  <c r="AM6" i="3"/>
  <c r="AL6" i="3"/>
  <c r="AO6" i="3" s="1"/>
  <c r="AK6" i="3"/>
  <c r="AN5" i="3"/>
  <c r="AM5" i="3"/>
  <c r="AL5" i="3"/>
  <c r="AO5" i="3" s="1"/>
  <c r="AK5" i="3"/>
  <c r="AC5" i="3"/>
  <c r="V5" i="3"/>
  <c r="AC4" i="3"/>
  <c r="V4" i="3"/>
  <c r="AC3" i="3"/>
  <c r="V3" i="3"/>
  <c r="AM10" i="1"/>
  <c r="AC9" i="1"/>
  <c r="AN12" i="1"/>
  <c r="AM12" i="1"/>
  <c r="AL12" i="1"/>
  <c r="AK12" i="1"/>
  <c r="AN11" i="1"/>
  <c r="AM11" i="1"/>
  <c r="AL11" i="1"/>
  <c r="AK11" i="1"/>
  <c r="AN10" i="1"/>
  <c r="AL10" i="1"/>
  <c r="AK10" i="1"/>
  <c r="AF9" i="1"/>
  <c r="AE9" i="1"/>
  <c r="AD9" i="1"/>
  <c r="AO7" i="5" l="1"/>
  <c r="Z11" i="5"/>
  <c r="AO11" i="5"/>
  <c r="AO12" i="5"/>
  <c r="AO29" i="5"/>
  <c r="AO19" i="7"/>
  <c r="AO25" i="7"/>
  <c r="AO30" i="7"/>
  <c r="AO7" i="3"/>
  <c r="Z11" i="3"/>
  <c r="AO11" i="3"/>
  <c r="AO12" i="3"/>
  <c r="AO19" i="6"/>
  <c r="AO25" i="6"/>
  <c r="AO30" i="6"/>
  <c r="AO20" i="7"/>
  <c r="Z28" i="7"/>
  <c r="AO18" i="3"/>
  <c r="Z30" i="3"/>
  <c r="Z31" i="4"/>
  <c r="W5" i="5"/>
  <c r="AO24" i="5"/>
  <c r="AO25" i="5"/>
  <c r="AO30" i="5"/>
  <c r="AO20" i="6"/>
  <c r="Z28" i="6"/>
  <c r="AO7" i="7"/>
  <c r="Z11" i="7"/>
  <c r="AO11" i="7"/>
  <c r="AO12" i="7"/>
  <c r="AO29" i="7"/>
  <c r="AO19" i="3"/>
  <c r="AO25" i="3"/>
  <c r="AO23" i="5"/>
  <c r="AO7" i="6"/>
  <c r="Z11" i="6"/>
  <c r="AO11" i="6"/>
  <c r="AO12" i="6"/>
  <c r="AO29" i="6"/>
  <c r="AO15" i="4"/>
  <c r="AO5" i="4"/>
  <c r="AV16" i="4"/>
  <c r="Z29" i="4"/>
  <c r="AV14" i="4"/>
  <c r="Z30" i="4"/>
  <c r="AV7" i="4"/>
  <c r="AV6" i="4"/>
  <c r="AV15" i="4"/>
  <c r="AV25" i="4"/>
  <c r="AV23" i="4"/>
  <c r="AO7" i="4"/>
  <c r="AO16" i="4"/>
  <c r="AO17" i="4"/>
  <c r="AV5" i="4"/>
  <c r="AV24" i="4"/>
  <c r="W5" i="7"/>
  <c r="V7" i="7" s="1"/>
  <c r="W5" i="6"/>
  <c r="V7" i="6" s="1"/>
  <c r="V7" i="5"/>
  <c r="W5" i="4"/>
  <c r="V7" i="4" s="1"/>
  <c r="W5" i="3"/>
  <c r="V7" i="3" s="1"/>
  <c r="AN30" i="1"/>
  <c r="AN29" i="1"/>
  <c r="AM30" i="1"/>
  <c r="AM29" i="1"/>
  <c r="AL30" i="1"/>
  <c r="AL29" i="1"/>
  <c r="AK30" i="1"/>
  <c r="AK29" i="1"/>
  <c r="AN25" i="1"/>
  <c r="AN24" i="1"/>
  <c r="AM25" i="1"/>
  <c r="AM24" i="1"/>
  <c r="AL25" i="1"/>
  <c r="AL24" i="1"/>
  <c r="AK25" i="1"/>
  <c r="AK24" i="1"/>
  <c r="AN20" i="1"/>
  <c r="AN19" i="1"/>
  <c r="AM20" i="1"/>
  <c r="AM19" i="1"/>
  <c r="AL20" i="1"/>
  <c r="AL19" i="1"/>
  <c r="AK20" i="1"/>
  <c r="AK19" i="1"/>
  <c r="AN7" i="1"/>
  <c r="AN6" i="1"/>
  <c r="AM7" i="1"/>
  <c r="AM6" i="1"/>
  <c r="AL7" i="1"/>
  <c r="AL6" i="1"/>
  <c r="AK7" i="1"/>
  <c r="AK6" i="1"/>
  <c r="Y30" i="1"/>
  <c r="Y29" i="1"/>
  <c r="X30" i="1"/>
  <c r="X29" i="1"/>
  <c r="W30" i="1"/>
  <c r="W29" i="1"/>
  <c r="V30" i="1"/>
  <c r="V29" i="1"/>
  <c r="V10" i="1"/>
  <c r="Z30" i="1" l="1"/>
  <c r="AO20" i="1"/>
  <c r="AO25" i="1"/>
  <c r="AO30" i="1"/>
  <c r="AO12" i="1"/>
  <c r="AO7" i="1"/>
  <c r="AN28" i="1"/>
  <c r="AM28" i="1"/>
  <c r="AL28" i="1"/>
  <c r="AK28" i="1"/>
  <c r="AN23" i="1"/>
  <c r="AM23" i="1"/>
  <c r="AL23" i="1"/>
  <c r="AK23" i="1"/>
  <c r="AL18" i="1"/>
  <c r="AK18" i="1"/>
  <c r="AN18" i="1"/>
  <c r="AM18" i="1"/>
  <c r="AN5" i="1"/>
  <c r="AM5" i="1"/>
  <c r="AL5" i="1"/>
  <c r="AK5" i="1"/>
  <c r="AF8" i="1"/>
  <c r="AE8" i="1"/>
  <c r="AD8" i="1"/>
  <c r="AC8" i="1"/>
  <c r="Y28" i="1"/>
  <c r="X28" i="1"/>
  <c r="W28" i="1"/>
  <c r="V28" i="1"/>
  <c r="V14" i="1"/>
  <c r="V15" i="1"/>
  <c r="V16" i="1"/>
  <c r="W16" i="1"/>
  <c r="X16" i="1"/>
  <c r="Y16" i="1"/>
  <c r="V17" i="1"/>
  <c r="W17" i="1"/>
  <c r="X17" i="1"/>
  <c r="Y17" i="1"/>
  <c r="V18" i="1"/>
  <c r="W18" i="1"/>
  <c r="X18" i="1"/>
  <c r="Y18" i="1"/>
  <c r="Z28" i="1" l="1"/>
  <c r="AO11" i="1"/>
  <c r="AO29" i="1"/>
  <c r="AO18" i="1"/>
  <c r="AO19" i="1"/>
  <c r="AO24" i="1"/>
  <c r="AO23" i="1"/>
  <c r="AO28" i="1"/>
  <c r="AO6" i="1"/>
  <c r="AO10" i="1"/>
  <c r="AO5" i="1"/>
  <c r="Z29" i="1"/>
  <c r="Z18" i="1"/>
  <c r="AF14" i="1"/>
  <c r="AF13" i="1"/>
  <c r="AF12" i="1"/>
  <c r="AE14" i="1"/>
  <c r="AE13" i="1"/>
  <c r="AE12" i="1"/>
  <c r="AD14" i="1"/>
  <c r="AD13" i="1"/>
  <c r="AD12" i="1"/>
  <c r="Y15" i="1"/>
  <c r="Y14" i="1"/>
  <c r="X15" i="1"/>
  <c r="X14" i="1"/>
  <c r="W15" i="1"/>
  <c r="W14" i="1"/>
  <c r="Y11" i="1"/>
  <c r="Y10" i="1"/>
  <c r="W10" i="1"/>
  <c r="X11" i="1"/>
  <c r="X10" i="1"/>
  <c r="W11" i="1"/>
  <c r="AC5" i="1"/>
  <c r="AC4" i="1"/>
  <c r="AC3" i="1"/>
  <c r="AC14" i="1"/>
  <c r="AC13" i="1"/>
  <c r="AC12" i="1"/>
  <c r="AC24" i="1"/>
  <c r="AC23" i="1"/>
  <c r="AC22" i="1"/>
  <c r="AC21" i="1"/>
  <c r="AC20" i="1"/>
  <c r="AC19" i="1"/>
  <c r="AC30" i="1"/>
  <c r="AC29" i="1"/>
  <c r="AC28" i="1"/>
  <c r="AC27" i="1"/>
  <c r="V24" i="1"/>
  <c r="V23" i="1"/>
  <c r="V22" i="1"/>
  <c r="V11" i="1"/>
  <c r="V5" i="1"/>
  <c r="V4" i="1"/>
  <c r="V3" i="1"/>
  <c r="Z11" i="1" l="1"/>
  <c r="W5" i="1"/>
  <c r="V7" i="1" l="1"/>
</calcChain>
</file>

<file path=xl/sharedStrings.xml><?xml version="1.0" encoding="utf-8"?>
<sst xmlns="http://schemas.openxmlformats.org/spreadsheetml/2006/main" count="788" uniqueCount="78">
  <si>
    <t>PAIR</t>
  </si>
  <si>
    <t>DIRECTION</t>
  </si>
  <si>
    <t>ENTRY DAY</t>
  </si>
  <si>
    <t>SL (PIPS)</t>
  </si>
  <si>
    <t>TRADE TYPE</t>
  </si>
  <si>
    <t>EXECUTION SET UP</t>
  </si>
  <si>
    <t>EXECUTION MODEL</t>
  </si>
  <si>
    <t>T-F OF EXECUTION</t>
  </si>
  <si>
    <t>EXIT/TP (PIPS)</t>
  </si>
  <si>
    <t>RESULT</t>
  </si>
  <si>
    <t>1:2 RR</t>
  </si>
  <si>
    <t>1:3 RR</t>
  </si>
  <si>
    <t>1:4 RR</t>
  </si>
  <si>
    <t>BEFORE SCREENSHOT</t>
  </si>
  <si>
    <t>AFTER SCREENSHOT</t>
  </si>
  <si>
    <t>1:5 RR &amp; ABOVE</t>
  </si>
  <si>
    <t>BREAK-EVEN</t>
  </si>
  <si>
    <t>1 HR</t>
  </si>
  <si>
    <t>1 MIN</t>
  </si>
  <si>
    <t>ORDER BLOCK</t>
  </si>
  <si>
    <t>DAY</t>
  </si>
  <si>
    <t>MONDAY</t>
  </si>
  <si>
    <t>WEDNESDAY</t>
  </si>
  <si>
    <t>LONG</t>
  </si>
  <si>
    <t>TOTAL</t>
  </si>
  <si>
    <t>WON</t>
  </si>
  <si>
    <t>LOSS</t>
  </si>
  <si>
    <t>RESULTS</t>
  </si>
  <si>
    <t>SHORT</t>
  </si>
  <si>
    <t>ENTRY DAYS</t>
  </si>
  <si>
    <t>TUESDAY</t>
  </si>
  <si>
    <t>THURSDAY</t>
  </si>
  <si>
    <t>FRIDAY</t>
  </si>
  <si>
    <t>SCALP</t>
  </si>
  <si>
    <t>SWING</t>
  </si>
  <si>
    <t>EXECUTION SET-UP</t>
  </si>
  <si>
    <t xml:space="preserve">T-F OF EXECUTION </t>
  </si>
  <si>
    <t>RR</t>
  </si>
  <si>
    <t>AVERAGES</t>
  </si>
  <si>
    <t>SL</t>
  </si>
  <si>
    <t>1;2</t>
  </si>
  <si>
    <t>1;3</t>
  </si>
  <si>
    <t>1;4</t>
  </si>
  <si>
    <t>1;5 &amp; ABOVE</t>
  </si>
  <si>
    <t>3 MIN</t>
  </si>
  <si>
    <t>5 MIN</t>
  </si>
  <si>
    <t>15 MIN</t>
  </si>
  <si>
    <t>30 MIN</t>
  </si>
  <si>
    <t>BREAKER BLOCK</t>
  </si>
  <si>
    <t>FVG / IMB</t>
  </si>
  <si>
    <t>BREAK &amp; RETEST</t>
  </si>
  <si>
    <t>STRIKE RATE (%)</t>
  </si>
  <si>
    <t>HIGHEST REWARD</t>
  </si>
  <si>
    <t>TP</t>
  </si>
  <si>
    <t>DATE</t>
  </si>
  <si>
    <t>SESSION OF ENTRY</t>
  </si>
  <si>
    <t>NEW YORK</t>
  </si>
  <si>
    <t>LONDON</t>
  </si>
  <si>
    <t>WIN</t>
  </si>
  <si>
    <t>FVG/IMB</t>
  </si>
  <si>
    <t>SESSION DATA</t>
  </si>
  <si>
    <t>SESSIONS</t>
  </si>
  <si>
    <t>SESSIONS AND EXECUTION SETUP DATA</t>
  </si>
  <si>
    <t>EXECUTION SETUPS</t>
  </si>
  <si>
    <t>B.E</t>
  </si>
  <si>
    <t>SESSIONS AND EXECUTION MODELS</t>
  </si>
  <si>
    <t>ORDER BLOCKS</t>
  </si>
  <si>
    <t>EXECUTION MODELS</t>
  </si>
  <si>
    <t>BREAKER BLOCKS</t>
  </si>
  <si>
    <t>ASIAN</t>
  </si>
  <si>
    <t>LIQUIDITY GRAB (PREV H/L or TRENDLINE)</t>
  </si>
  <si>
    <t>BTC</t>
  </si>
  <si>
    <t>SL (POINTS)</t>
  </si>
  <si>
    <t>EXIT/TP (POINTS)</t>
  </si>
  <si>
    <t>SATURDAY</t>
  </si>
  <si>
    <t>SUNDAY</t>
  </si>
  <si>
    <t>DAYS AND EXECUTION SETUP DATA</t>
  </si>
  <si>
    <t>DAYS AND EXECUTION 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</si>
</sst>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rgb="FF010109"/>
      <name val="Calibri"/>
      <family val="2"/>
      <scheme val="minor"/>
    </font>
    <font>
      <sz val="11"/>
      <color rgb="FF01010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  <xf numFmtId="0" fontId="11" fillId="6" borderId="0" applyFont="0"/>
  </cellStyleXfs>
  <cellXfs count="38">
    <xf numFmtId="0" fontId="0" fillId="0" borderId="0" xfId="0"/>
    <xf numFmtId="0" fontId="2" fillId="0" borderId="0" xfId="0" applyFont="1"/>
    <xf numFmtId="20" fontId="2" fillId="0" borderId="0" xfId="0" applyNumberFormat="1" applyFont="1"/>
    <xf numFmtId="0" fontId="0" fillId="0" borderId="0" xfId="0" applyFont="1"/>
    <xf numFmtId="0" fontId="2" fillId="3" borderId="0" xfId="0" applyFont="1" applyFill="1"/>
    <xf numFmtId="0" fontId="0" fillId="3" borderId="0" xfId="0" applyFont="1" applyFill="1"/>
    <xf numFmtId="0" fontId="4" fillId="0" borderId="0" xfId="2" applyFont="1" applyAlignment="1"/>
    <xf numFmtId="0" fontId="5" fillId="0" borderId="0" xfId="0" applyFont="1"/>
    <xf numFmtId="14" fontId="0" fillId="0" borderId="0" xfId="0" applyNumberFormat="1" applyFont="1"/>
    <xf numFmtId="20" fontId="0" fillId="0" borderId="0" xfId="0" applyNumberFormat="1" applyFont="1"/>
    <xf numFmtId="18" fontId="0" fillId="0" borderId="0" xfId="0" applyNumberFormat="1" applyFont="1"/>
    <xf numFmtId="0" fontId="2" fillId="0" borderId="0" xfId="0" applyFont="1" applyFill="1" applyBorder="1"/>
    <xf numFmtId="0" fontId="0" fillId="3" borderId="0" xfId="0" applyFill="1"/>
    <xf numFmtId="0" fontId="3" fillId="0" borderId="0" xfId="2"/>
    <xf numFmtId="0" fontId="3" fillId="0" borderId="0" xfId="2" applyAlignment="1"/>
    <xf numFmtId="0" fontId="2" fillId="3" borderId="0" xfId="0" applyFont="1" applyFill="1" applyAlignment="1">
      <alignment wrapText="1"/>
    </xf>
    <xf numFmtId="20" fontId="2" fillId="3" borderId="0" xfId="0" applyNumberFormat="1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4" borderId="0" xfId="3" applyFont="1"/>
    <xf numFmtId="0" fontId="15" fillId="2" borderId="0" xfId="1" applyFont="1"/>
    <xf numFmtId="0" fontId="16" fillId="5" borderId="0" xfId="4" applyFont="1"/>
    <xf numFmtId="0" fontId="12" fillId="0" borderId="0" xfId="0" applyFont="1" applyFill="1" applyBorder="1"/>
    <xf numFmtId="0" fontId="11" fillId="0" borderId="0" xfId="0" applyFont="1" applyFill="1" applyBorder="1"/>
    <xf numFmtId="0" fontId="17" fillId="0" borderId="0" xfId="0" applyFont="1"/>
    <xf numFmtId="20" fontId="18" fillId="0" borderId="0" xfId="0" applyNumberFormat="1" applyFont="1"/>
    <xf numFmtId="0" fontId="18" fillId="0" borderId="0" xfId="0" applyFont="1"/>
    <xf numFmtId="18" fontId="18" fillId="0" borderId="0" xfId="0" applyNumberFormat="1" applyFont="1"/>
    <xf numFmtId="0" fontId="19" fillId="3" borderId="0" xfId="0" applyFont="1" applyFill="1"/>
    <xf numFmtId="0" fontId="20" fillId="0" borderId="0" xfId="0" applyFont="1"/>
    <xf numFmtId="0" fontId="19" fillId="0" borderId="0" xfId="0" applyFont="1"/>
    <xf numFmtId="0" fontId="20" fillId="3" borderId="0" xfId="0" applyFont="1" applyFill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6">
    <cellStyle name="Bad" xfId="1" builtinId="27"/>
    <cellStyle name="Good" xfId="3" builtinId="26"/>
    <cellStyle name="Hyperlink" xfId="2" builtinId="8"/>
    <cellStyle name="Neutral" xfId="4" builtinId="28"/>
    <cellStyle name="Normal" xfId="0" builtinId="0"/>
    <cellStyle name="Style 1" xfId="5" xr:uid="{6FAB1E82-5FE9-4235-9048-6FC7F353DAAE}"/>
  </cellStyles>
  <dxfs count="0"/>
  <tableStyles count="0" defaultTableStyle="TableStyleMedium2" defaultPivotStyle="PivotStyleLight16"/>
  <colors>
    <mruColors>
      <color rgb="FF0101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A646-0820-407C-B514-B7566BBC5FF0}">
  <dimension ref="A1:AY47"/>
  <sheetViews>
    <sheetView tabSelected="1" zoomScale="70" zoomScaleNormal="70" workbookViewId="0">
      <selection activeCell="E2" sqref="E2"/>
    </sheetView>
  </sheetViews>
  <sheetFormatPr defaultRowHeight="14.5" x14ac:dyDescent="0.35"/>
  <cols>
    <col min="1" max="1" width="12" style="3" customWidth="1"/>
    <col min="2" max="2" width="9.26953125" style="3" customWidth="1"/>
    <col min="3" max="3" width="10.26953125" style="3" customWidth="1"/>
    <col min="4" max="4" width="11.1796875" style="3" customWidth="1"/>
    <col min="5" max="5" width="15.6328125" style="3" customWidth="1"/>
    <col min="6" max="6" width="8.7265625" style="3"/>
    <col min="7" max="7" width="12.26953125" style="3" customWidth="1"/>
    <col min="8" max="8" width="15.453125" style="3" customWidth="1"/>
    <col min="9" max="9" width="12.08984375" style="3" customWidth="1"/>
    <col min="10" max="10" width="33.81640625" style="3" customWidth="1"/>
    <col min="11" max="11" width="16.90625" style="3" customWidth="1"/>
    <col min="12" max="12" width="15.90625" style="3" customWidth="1"/>
    <col min="13" max="13" width="11.54296875" style="3" customWidth="1"/>
    <col min="14" max="16" width="8.7265625" style="3"/>
    <col min="17" max="17" width="14.26953125" style="3" customWidth="1"/>
    <col min="18" max="18" width="36.453125" style="3" customWidth="1"/>
    <col min="19" max="19" width="39" style="3" customWidth="1"/>
    <col min="20" max="20" width="8.7265625" style="3"/>
    <col min="21" max="21" width="15.90625" style="1" customWidth="1"/>
    <col min="22" max="22" width="12.81640625" style="1" customWidth="1"/>
    <col min="23" max="24" width="8.7265625" style="1"/>
    <col min="25" max="25" width="11.6328125" style="1" customWidth="1"/>
    <col min="26" max="26" width="14.90625" style="1" customWidth="1"/>
    <col min="27" max="27" width="18.6328125" style="3" customWidth="1"/>
    <col min="28" max="28" width="35.90625" style="1" customWidth="1"/>
    <col min="29" max="29" width="18.36328125" style="1" customWidth="1"/>
    <col min="30" max="30" width="10.90625" style="1" customWidth="1"/>
    <col min="31" max="31" width="12.26953125" style="1" customWidth="1"/>
    <col min="32" max="32" width="12.6328125" style="1" customWidth="1"/>
    <col min="33" max="35" width="8.7265625" style="3"/>
    <col min="36" max="36" width="17.453125" style="1" customWidth="1"/>
    <col min="37" max="40" width="8.7265625" style="1"/>
    <col min="41" max="41" width="15.6328125" style="1" customWidth="1"/>
    <col min="42" max="16384" width="8.7265625" style="3"/>
  </cols>
  <sheetData>
    <row r="1" spans="1:51" x14ac:dyDescent="0.35">
      <c r="A1" s="1" t="s">
        <v>54</v>
      </c>
      <c r="B1" s="1" t="s">
        <v>0</v>
      </c>
      <c r="C1" s="1" t="s">
        <v>1</v>
      </c>
      <c r="D1" s="1" t="s">
        <v>2</v>
      </c>
      <c r="E1" s="1" t="s">
        <v>55</v>
      </c>
      <c r="F1" s="1" t="s">
        <v>3</v>
      </c>
      <c r="G1" s="1" t="s">
        <v>8</v>
      </c>
      <c r="H1" s="1" t="s">
        <v>52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15</v>
      </c>
      <c r="R1" s="1" t="s">
        <v>13</v>
      </c>
      <c r="S1" s="1" t="s">
        <v>14</v>
      </c>
      <c r="T1" s="5"/>
      <c r="U1" s="4"/>
      <c r="V1" s="4"/>
      <c r="W1" s="4"/>
      <c r="X1" s="4"/>
      <c r="Y1" s="4"/>
      <c r="Z1" s="4"/>
      <c r="AA1" s="5"/>
      <c r="AB1" s="4"/>
      <c r="AC1" s="4"/>
      <c r="AD1" s="4"/>
      <c r="AE1" s="4"/>
      <c r="AF1" s="4"/>
      <c r="AG1" s="5"/>
      <c r="AH1" s="5"/>
      <c r="AI1" s="5"/>
      <c r="AJ1" s="4"/>
      <c r="AK1" s="4"/>
      <c r="AL1" s="4"/>
      <c r="AM1" s="4"/>
      <c r="AN1" s="4"/>
      <c r="AO1" s="4"/>
      <c r="AP1" s="5"/>
      <c r="AQ1" s="5"/>
      <c r="AR1" s="5"/>
      <c r="AS1" s="5"/>
      <c r="AT1" s="5"/>
      <c r="AU1" s="5"/>
      <c r="AV1" s="5"/>
      <c r="AW1" s="5"/>
      <c r="AX1" s="5"/>
      <c r="AY1" s="5"/>
    </row>
    <row r="2" spans="1:51" x14ac:dyDescent="0.35">
      <c r="A2" s="8"/>
      <c r="E2" s="9"/>
      <c r="R2" s="14"/>
      <c r="S2" s="6"/>
      <c r="T2" s="5"/>
      <c r="U2" s="1" t="s">
        <v>27</v>
      </c>
      <c r="V2" s="1" t="s">
        <v>24</v>
      </c>
      <c r="W2" s="4"/>
      <c r="X2" s="4"/>
      <c r="Y2" s="4"/>
      <c r="Z2" s="4"/>
      <c r="AA2" s="5"/>
      <c r="AB2" s="36" t="s">
        <v>38</v>
      </c>
      <c r="AC2" s="36"/>
      <c r="AD2" s="4"/>
      <c r="AE2" s="4"/>
      <c r="AF2" s="4"/>
      <c r="AG2" s="5"/>
      <c r="AH2" s="5"/>
      <c r="AI2" s="5"/>
      <c r="AJ2" s="36" t="s">
        <v>62</v>
      </c>
      <c r="AK2" s="36"/>
      <c r="AL2" s="36"/>
      <c r="AM2" s="36"/>
      <c r="AN2" s="36"/>
      <c r="AP2" s="12"/>
      <c r="AQ2" s="12"/>
      <c r="AR2" s="12"/>
      <c r="AS2" s="12"/>
      <c r="AT2" s="12"/>
      <c r="AU2" s="12"/>
      <c r="AV2" s="12"/>
      <c r="AW2" s="12"/>
      <c r="AX2" s="12"/>
      <c r="AY2" s="5"/>
    </row>
    <row r="3" spans="1:51" x14ac:dyDescent="0.35">
      <c r="E3" s="9"/>
      <c r="R3" s="14"/>
      <c r="S3" s="13"/>
      <c r="T3" s="5"/>
      <c r="U3" s="23" t="s">
        <v>25</v>
      </c>
      <c r="V3" s="23">
        <f>COUNTIF(M2:M1048576,"=WIN")</f>
        <v>0</v>
      </c>
      <c r="W3" s="4"/>
      <c r="X3" s="4"/>
      <c r="Y3" s="4"/>
      <c r="Z3" s="4"/>
      <c r="AA3" s="5"/>
      <c r="AB3" s="24" t="s">
        <v>39</v>
      </c>
      <c r="AC3" s="1" t="e">
        <f>AVERAGE(F2:F1048576)</f>
        <v>#DIV/0!</v>
      </c>
      <c r="AD3" s="4"/>
      <c r="AE3" s="4"/>
      <c r="AF3" s="4"/>
      <c r="AG3" s="5"/>
      <c r="AH3" s="5"/>
      <c r="AI3" s="5"/>
      <c r="AJ3" s="1" t="s">
        <v>63</v>
      </c>
      <c r="AK3" s="36" t="s">
        <v>50</v>
      </c>
      <c r="AL3" s="36"/>
      <c r="AM3" s="36"/>
      <c r="AN3" s="36"/>
      <c r="AO3" s="36"/>
      <c r="AP3" s="12"/>
      <c r="AQ3" s="12"/>
      <c r="AR3" s="12"/>
      <c r="AS3" s="12"/>
      <c r="AT3" s="12"/>
      <c r="AU3" s="12"/>
      <c r="AV3" s="12"/>
      <c r="AW3" s="12"/>
      <c r="AX3" s="12"/>
      <c r="AY3" s="5"/>
    </row>
    <row r="4" spans="1:51" x14ac:dyDescent="0.35">
      <c r="C4" s="18"/>
      <c r="T4" s="5"/>
      <c r="U4" s="24" t="s">
        <v>26</v>
      </c>
      <c r="V4" s="24">
        <f>COUNTIF(M2:M1048576,"=LOSS")</f>
        <v>0</v>
      </c>
      <c r="W4" s="4"/>
      <c r="X4" s="4"/>
      <c r="Y4" s="4"/>
      <c r="Z4" s="4"/>
      <c r="AA4" s="5"/>
      <c r="AB4" s="25" t="s">
        <v>52</v>
      </c>
      <c r="AC4" s="1" t="e">
        <f>AVERAGE(H2:H1048576)</f>
        <v>#DIV/0!</v>
      </c>
      <c r="AD4" s="4"/>
      <c r="AE4" s="4"/>
      <c r="AF4" s="4"/>
      <c r="AG4" s="5"/>
      <c r="AH4" s="5"/>
      <c r="AI4" s="5"/>
      <c r="AK4" s="1" t="s">
        <v>24</v>
      </c>
      <c r="AL4" s="23" t="s">
        <v>58</v>
      </c>
      <c r="AM4" s="24" t="s">
        <v>26</v>
      </c>
      <c r="AN4" s="25" t="s">
        <v>64</v>
      </c>
      <c r="AO4" s="1" t="s">
        <v>51</v>
      </c>
      <c r="AP4" s="12"/>
      <c r="AQ4" s="12"/>
      <c r="AR4" s="12"/>
      <c r="AS4" s="12"/>
      <c r="AT4" s="12"/>
      <c r="AU4" s="12"/>
      <c r="AV4" s="12"/>
      <c r="AW4" s="12"/>
      <c r="AX4" s="12"/>
      <c r="AY4" s="5"/>
    </row>
    <row r="5" spans="1:51" x14ac:dyDescent="0.35">
      <c r="C5" s="17"/>
      <c r="E5" s="10"/>
      <c r="T5" s="5"/>
      <c r="U5" s="25" t="s">
        <v>16</v>
      </c>
      <c r="V5" s="25">
        <f>COUNTIF(M2:M1048576,"=BREAK-EVEN")</f>
        <v>0</v>
      </c>
      <c r="W5" s="1">
        <f>SUM(V3:V5)</f>
        <v>0</v>
      </c>
      <c r="X5" s="4"/>
      <c r="Y5" s="4"/>
      <c r="Z5" s="4"/>
      <c r="AA5" s="5"/>
      <c r="AB5" s="23" t="s">
        <v>53</v>
      </c>
      <c r="AC5" s="1" t="e">
        <f>AVERAGE(G2:G1048576)</f>
        <v>#DIV/0!</v>
      </c>
      <c r="AD5" s="4"/>
      <c r="AE5" s="4"/>
      <c r="AF5" s="4"/>
      <c r="AG5" s="5"/>
      <c r="AH5" s="5"/>
      <c r="AI5" s="5"/>
      <c r="AJ5" s="21" t="s">
        <v>57</v>
      </c>
      <c r="AK5" s="21">
        <f>COUNTIFS(E2:E1048576,"=LONDON",J2:J1048576,"=BREAK &amp; RETEST")</f>
        <v>0</v>
      </c>
      <c r="AL5" s="23">
        <f>COUNTIFS(E2:E1048576,"=LONDON", J2:J1048576,"=BREAK &amp; RETEST",M2:M1048576,"=WIN")</f>
        <v>0</v>
      </c>
      <c r="AM5" s="24">
        <f>COUNTIFS(E2:E1048576,"=LONDON", J2:J1048576,"=BREAK &amp; RETEST",M2:M1048576,"=LOSS")</f>
        <v>0</v>
      </c>
      <c r="AN5" s="25">
        <f>COUNTIFS(E2:E1048576,"=LONDON", J2:J1048576,"=BREAK &amp; RETEST",M2:M1048576,"=BREAK-EVEN")</f>
        <v>0</v>
      </c>
      <c r="AO5" s="1" t="e">
        <f>AL5/AK5*100</f>
        <v>#DIV/0!</v>
      </c>
      <c r="AP5" s="12"/>
      <c r="AQ5" s="12"/>
      <c r="AR5" s="12"/>
      <c r="AS5" s="12"/>
      <c r="AT5" s="12"/>
      <c r="AU5" s="12"/>
      <c r="AV5" s="12"/>
      <c r="AW5" s="12"/>
      <c r="AX5" s="12"/>
      <c r="AY5" s="5"/>
    </row>
    <row r="6" spans="1:51" x14ac:dyDescent="0.35">
      <c r="A6" s="8"/>
      <c r="E6" s="10"/>
      <c r="T6" s="5"/>
      <c r="U6" s="4"/>
      <c r="V6" s="4"/>
      <c r="W6" s="4"/>
      <c r="X6" s="4"/>
      <c r="Y6" s="4"/>
      <c r="Z6" s="4"/>
      <c r="AA6" s="5"/>
      <c r="AB6" s="4"/>
      <c r="AC6" s="4"/>
      <c r="AD6" s="4"/>
      <c r="AE6" s="4"/>
      <c r="AF6" s="4"/>
      <c r="AG6" s="5"/>
      <c r="AH6" s="5"/>
      <c r="AI6" s="5"/>
      <c r="AJ6" s="22" t="s">
        <v>56</v>
      </c>
      <c r="AK6" s="22">
        <f>COUNTIFS(E2:E1048576,"=NEW YORK",J2:J1048576,"=BREAK &amp; RETEST")</f>
        <v>0</v>
      </c>
      <c r="AL6" s="23">
        <f>COUNTIFS(E2:E1048576,"=NEW YORK", J2:J1048576,"=BREAK &amp; RETEST",M2:M1048576,"=WIN")</f>
        <v>0</v>
      </c>
      <c r="AM6" s="24">
        <f>COUNTIFS(E2:E1048576,"=NEW YORK", J2:J1048576,"=BREAK &amp; RETEST",M2:M1048576,"=LOSS")</f>
        <v>0</v>
      </c>
      <c r="AN6" s="25">
        <f>COUNTIFS(E2:E1048576,"=NEW YORK", J2:J1048576,"=BREAK &amp; RETEST",M2:M1048576,"=BREAK-EVEN")</f>
        <v>0</v>
      </c>
      <c r="AO6" s="1" t="e">
        <f>AL6/AK6*100</f>
        <v>#DIV/0!</v>
      </c>
      <c r="AP6" s="12"/>
      <c r="AQ6" s="12"/>
      <c r="AR6" s="12"/>
      <c r="AS6" s="12"/>
      <c r="AT6" s="12"/>
      <c r="AU6" s="12"/>
      <c r="AV6" s="12"/>
      <c r="AW6" s="12"/>
      <c r="AX6" s="12"/>
      <c r="AY6" s="5"/>
    </row>
    <row r="7" spans="1:51" x14ac:dyDescent="0.35">
      <c r="T7" s="5"/>
      <c r="U7" s="1" t="s">
        <v>51</v>
      </c>
      <c r="V7" s="1" t="e">
        <f>V3/W5*100</f>
        <v>#DIV/0!</v>
      </c>
      <c r="W7" s="4"/>
      <c r="X7" s="4"/>
      <c r="Y7" s="4"/>
      <c r="Z7" s="4"/>
      <c r="AA7" s="5"/>
      <c r="AB7" s="1" t="s">
        <v>35</v>
      </c>
      <c r="AC7" s="1" t="s">
        <v>24</v>
      </c>
      <c r="AD7" s="23" t="s">
        <v>25</v>
      </c>
      <c r="AE7" s="24" t="s">
        <v>26</v>
      </c>
      <c r="AF7" s="25" t="s">
        <v>16</v>
      </c>
      <c r="AG7" s="5"/>
      <c r="AH7" s="5"/>
      <c r="AI7" s="5"/>
      <c r="AJ7" s="1" t="s">
        <v>69</v>
      </c>
      <c r="AK7" s="1">
        <f>COUNTIFS(E2:E1048576,"=ASIAN",J2:J1048576,"=BREAK &amp; RETEST")</f>
        <v>0</v>
      </c>
      <c r="AL7" s="23">
        <f>COUNTIFS(E2:E1048576,"=ASIAN", J2:J1048576,"=BREAK &amp; RETEST",M2:M1048576,"=WIN")</f>
        <v>0</v>
      </c>
      <c r="AM7" s="24">
        <f>COUNTIFS(E2:E1048576,"=ASIAN", J2:J1048576,"=BREAK &amp; RETEST",M2:M1048576,"=LOSS")</f>
        <v>0</v>
      </c>
      <c r="AN7" s="25">
        <f>COUNTIFS(E2:E1048576,"=ASIAN", J2:J1048576,"=BREAK &amp; RETEST",M2:M1048576,"=BREAK-EVEN")</f>
        <v>0</v>
      </c>
      <c r="AO7" s="1" t="e">
        <f>AL7/AK7*100</f>
        <v>#DIV/0!</v>
      </c>
      <c r="AP7" s="12"/>
      <c r="AQ7" s="12"/>
      <c r="AR7" s="12"/>
      <c r="AS7" s="12"/>
      <c r="AT7" s="12"/>
      <c r="AU7" s="12"/>
      <c r="AV7" s="12"/>
      <c r="AW7" s="12"/>
      <c r="AX7" s="12"/>
      <c r="AY7" s="5"/>
    </row>
    <row r="8" spans="1:51" x14ac:dyDescent="0.35">
      <c r="T8" s="5"/>
      <c r="U8" s="4"/>
      <c r="V8" s="4"/>
      <c r="W8" s="4"/>
      <c r="X8" s="4"/>
      <c r="Y8" s="4"/>
      <c r="Z8" s="4"/>
      <c r="AA8" s="5"/>
      <c r="AB8" s="1" t="s">
        <v>50</v>
      </c>
      <c r="AC8" s="1">
        <f>COUNTIF(J2:J1048576,"=BREAK &amp; RETEST")</f>
        <v>0</v>
      </c>
      <c r="AD8" s="23">
        <f>COUNTIFS(J2:J1048576,"=BREAK &amp; RETEST",M2:M1048576,"=WIN")</f>
        <v>0</v>
      </c>
      <c r="AE8" s="24">
        <f>COUNTIFS(J2:J1048576,"=BREAK &amp; RETEST",M2:M1048576,"=LOSS")</f>
        <v>0</v>
      </c>
      <c r="AF8" s="25">
        <f>COUNTIFS(J2:J1048576,"=BREAK &amp; RETEST",M2:M1048576,"=BREAK-EVEN")</f>
        <v>0</v>
      </c>
      <c r="AG8" s="5"/>
      <c r="AH8" s="5"/>
      <c r="AI8" s="5"/>
      <c r="AP8" s="12"/>
      <c r="AQ8" s="12"/>
      <c r="AR8" s="12"/>
      <c r="AS8" s="12"/>
      <c r="AT8" s="12"/>
      <c r="AU8" s="12"/>
      <c r="AV8" s="12"/>
      <c r="AW8" s="12"/>
      <c r="AX8" s="12"/>
      <c r="AY8" s="5"/>
    </row>
    <row r="9" spans="1:51" x14ac:dyDescent="0.35">
      <c r="A9" s="8"/>
      <c r="T9" s="5"/>
      <c r="U9" s="1" t="s">
        <v>1</v>
      </c>
      <c r="V9" s="1" t="s">
        <v>24</v>
      </c>
      <c r="W9" s="23" t="s">
        <v>25</v>
      </c>
      <c r="X9" s="24" t="s">
        <v>26</v>
      </c>
      <c r="Y9" s="25" t="s">
        <v>16</v>
      </c>
      <c r="Z9" s="4"/>
      <c r="AA9" s="5"/>
      <c r="AB9" s="1" t="s">
        <v>70</v>
      </c>
      <c r="AC9" s="1">
        <f>COUNTIF(J2:J1048576,"=LIQUIDITY GRAB (PREV H/L or TRENDLINE)")</f>
        <v>0</v>
      </c>
      <c r="AD9" s="23">
        <f>COUNTIFS(J2:J1048576,"=LIQUIDITY GRAB (PREV H/L or TRENDLINE)",M2:M1048576,"=WIN")</f>
        <v>0</v>
      </c>
      <c r="AE9" s="24">
        <f>COUNTIFS(J2:J1048576,"=LIQUIDITY GRAB (PREV H/L or TRENDLINE)",M2:M1048576,"=LOSS")</f>
        <v>0</v>
      </c>
      <c r="AF9" s="25">
        <f>COUNTIFS(J2:J1048576,"=LIQUIDITY GRAB (PREV H/L or TRENDLINE)",M2:M1048576,"=BREAK-EVEN")</f>
        <v>0</v>
      </c>
      <c r="AG9" s="5"/>
      <c r="AH9" s="5"/>
      <c r="AI9" s="5"/>
      <c r="AJ9" s="1" t="s">
        <v>63</v>
      </c>
      <c r="AK9" s="36" t="s">
        <v>70</v>
      </c>
      <c r="AL9" s="36"/>
      <c r="AM9" s="36"/>
      <c r="AN9" s="36"/>
      <c r="AO9" s="36"/>
      <c r="AP9" s="12"/>
      <c r="AQ9" s="12"/>
      <c r="AR9" s="12"/>
      <c r="AS9" s="12"/>
      <c r="AT9" s="12"/>
      <c r="AU9" s="12"/>
      <c r="AV9" s="12"/>
      <c r="AW9" s="12"/>
      <c r="AX9" s="12"/>
      <c r="AY9" s="5"/>
    </row>
    <row r="10" spans="1:51" x14ac:dyDescent="0.35">
      <c r="A10" s="8"/>
      <c r="T10" s="5"/>
      <c r="U10" s="19" t="s">
        <v>23</v>
      </c>
      <c r="V10" s="19">
        <f>COUNTIF(C2:C1048576,"=LONG")</f>
        <v>0</v>
      </c>
      <c r="W10" s="23">
        <f>COUNTIFS(C2:C1048576,"=LONG",M2:M1048576,"=WIN")</f>
        <v>0</v>
      </c>
      <c r="X10" s="24">
        <f>COUNTIFS(C2:C1048576,"=LONG",M2:M1048576,"=LOSS")</f>
        <v>0</v>
      </c>
      <c r="Y10" s="25">
        <f>COUNTIFS(C2:C1048576,"=LONG",M2:M1048576,"=BREAK-EVEN")</f>
        <v>0</v>
      </c>
      <c r="Z10" s="4"/>
      <c r="AA10" s="5"/>
      <c r="AB10" s="4"/>
      <c r="AC10" s="4"/>
      <c r="AD10" s="4"/>
      <c r="AE10" s="4"/>
      <c r="AF10" s="4"/>
      <c r="AG10" s="5"/>
      <c r="AH10" s="5"/>
      <c r="AI10" s="5"/>
      <c r="AJ10" s="21" t="s">
        <v>57</v>
      </c>
      <c r="AK10" s="21">
        <f>COUNTIFS(E2:E1048576,"=LONDON",J2:J1048576,"=LIQUIDITY GRAB (PREV H/L or TRENDLINE)")</f>
        <v>0</v>
      </c>
      <c r="AL10" s="23">
        <f>COUNTIFS(E2:E1048576,"=LONDON", J2:J1048576,"=LIQUIDITY GRAB (PREV H/L or TRENDLINE)",M2:M1048576,"=WIN")</f>
        <v>0</v>
      </c>
      <c r="AM10" s="24">
        <f>COUNTIFS(E2:E1048576,"=LONDON", J2:J1048576,"=LIQUIDITY GRAB (PREV H/L or TRENDLINE)",M2:M1048576,"=LOSS")</f>
        <v>0</v>
      </c>
      <c r="AN10" s="25">
        <f>COUNTIFS(E2:E1048576,"=LONDON", J2:J1048576,"=LIQUIDITY GRAB (PREV H/L or TRENDLINE)",M2:M1048576,"=BREAK-EVEN")</f>
        <v>0</v>
      </c>
      <c r="AO10" s="1" t="e">
        <f>AL10/AK10*100</f>
        <v>#DIV/0!</v>
      </c>
      <c r="AP10" s="12"/>
      <c r="AQ10" s="12"/>
      <c r="AR10" s="12"/>
      <c r="AS10" s="12"/>
      <c r="AT10" s="12"/>
      <c r="AU10" s="12"/>
      <c r="AV10" s="12"/>
      <c r="AW10" s="12"/>
      <c r="AX10" s="12"/>
      <c r="AY10" s="5"/>
    </row>
    <row r="11" spans="1:51" x14ac:dyDescent="0.35">
      <c r="T11" s="5"/>
      <c r="U11" s="20" t="s">
        <v>28</v>
      </c>
      <c r="V11" s="20">
        <f>COUNTIF(C2:C1048576,"=SHORT")</f>
        <v>0</v>
      </c>
      <c r="W11" s="23">
        <f>COUNTIFS(C2:C1048576,"=SHORT",M2:M1048576,"=WIN")</f>
        <v>0</v>
      </c>
      <c r="X11" s="24">
        <f>COUNTIFS(C2:C1048576,"=SHORT",M2:M1048576,"=LOSS")</f>
        <v>0</v>
      </c>
      <c r="Y11" s="25">
        <f>COUNTIFS(C2:C1048576,"=SHORT",M2:M1048576,"=BREAK-EVEN")</f>
        <v>0</v>
      </c>
      <c r="Z11" s="1">
        <f>SUM(V10:V11)</f>
        <v>0</v>
      </c>
      <c r="AA11" s="5"/>
      <c r="AB11" s="1" t="s">
        <v>6</v>
      </c>
      <c r="AC11" s="1" t="s">
        <v>24</v>
      </c>
      <c r="AD11" s="23" t="s">
        <v>25</v>
      </c>
      <c r="AE11" s="24" t="s">
        <v>26</v>
      </c>
      <c r="AF11" s="25" t="s">
        <v>16</v>
      </c>
      <c r="AG11" s="5"/>
      <c r="AH11" s="5"/>
      <c r="AI11" s="5"/>
      <c r="AJ11" s="22" t="s">
        <v>56</v>
      </c>
      <c r="AK11" s="22">
        <f>COUNTIFS(E2:E1048576,"=NEW YORK",J2:J1048576,"=LIQUIDITY GRAB (PREV H/L or TRENDLINE)")</f>
        <v>0</v>
      </c>
      <c r="AL11" s="23">
        <f>COUNTIFS(E2:E1048576,"=NEW YORK", J2:J1048576,"=LIQUIDITY GRAB (PREV H/L or TRENDLINE)",M2:M1048576,"=WIN")</f>
        <v>0</v>
      </c>
      <c r="AM11" s="24">
        <f>COUNTIFS(E2:E1048576,"=NEW YORK", J2:J1048576,"=LIQUIDITY GRAB (PREV H/L or TRENDLINE)",M2:M1048576,"=LOSS")</f>
        <v>0</v>
      </c>
      <c r="AN11" s="25">
        <f>COUNTIFS(E2:E1048576,"=NEW YORK", J2:J1048576,"=LIQUIDITY GRAB (PREV H/L or TRENDLINE)",M2:M1048576,"=BREAK-EVEN")</f>
        <v>0</v>
      </c>
      <c r="AO11" s="1" t="e">
        <f>AL11/AK11*100</f>
        <v>#DIV/0!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5"/>
    </row>
    <row r="12" spans="1:51" x14ac:dyDescent="0.35">
      <c r="T12" s="5"/>
      <c r="U12" s="4"/>
      <c r="V12" s="4"/>
      <c r="W12" s="4"/>
      <c r="X12" s="4"/>
      <c r="Y12" s="4"/>
      <c r="Z12" s="4"/>
      <c r="AA12" s="5"/>
      <c r="AB12" s="1" t="s">
        <v>19</v>
      </c>
      <c r="AC12" s="1">
        <f>COUNTIF(K2:K1048576,"=ORDER BLOCK")</f>
        <v>0</v>
      </c>
      <c r="AD12" s="23">
        <f>COUNTIFS(K2:K1048576,"=ORDER BLOCK",M2:M1048576,"=WIN")</f>
        <v>0</v>
      </c>
      <c r="AE12" s="24">
        <f>COUNTIFS(K2:K1048576,"=ORDER BLOCK",M2:M1048576,"=LOSS")</f>
        <v>0</v>
      </c>
      <c r="AF12" s="25">
        <f>COUNTIFS(K2:K1048576,"=ORDER BLOCK",M2:M1048576,"=BREAK-EVEN")</f>
        <v>0</v>
      </c>
      <c r="AG12" s="5"/>
      <c r="AH12" s="5"/>
      <c r="AI12" s="5"/>
      <c r="AJ12" s="1" t="s">
        <v>69</v>
      </c>
      <c r="AK12" s="1">
        <f>COUNTIFS(E2:E1048576,"=ASIAN",J2:J1048576,"=LIQUIDITY GRAB (PREV H/L or TRENDLINE)")</f>
        <v>0</v>
      </c>
      <c r="AL12" s="23">
        <f>COUNTIFS(E2:E1048576,"=ASIAN", J2:J1048576,"=LIQUIDITY GRAB (PREV H/L or TRENDLINE)",M2:M1048576,"=WIN")</f>
        <v>0</v>
      </c>
      <c r="AM12" s="24">
        <f>COUNTIFS(E2:E1048576,"=ASIAN", J2:J1048576,"=LIQUIDITY GRAB (PREV H/L or TRENDLINE)",M2:M1048576,"=LOSS")</f>
        <v>0</v>
      </c>
      <c r="AN12" s="25">
        <f>COUNTIFS(E2:E1048576,"=ASIAN", J2:J1048576,"=LIQUIDITY GRAB (PREV H/L or TRENDLINE)",M2:M1048576,"=BREAK-EVEN")</f>
        <v>0</v>
      </c>
      <c r="AO12" s="1" t="e">
        <f>AL12/AK12*100</f>
        <v>#DIV/0!</v>
      </c>
      <c r="AP12" s="12"/>
      <c r="AQ12" s="12"/>
      <c r="AR12" s="12"/>
      <c r="AS12" s="12"/>
      <c r="AT12" s="12"/>
      <c r="AU12" s="12"/>
      <c r="AV12" s="12"/>
      <c r="AW12" s="12"/>
      <c r="AX12" s="12"/>
      <c r="AY12" s="5"/>
    </row>
    <row r="13" spans="1:51" x14ac:dyDescent="0.35">
      <c r="T13" s="5"/>
      <c r="U13" s="1" t="s">
        <v>29</v>
      </c>
      <c r="V13" s="1" t="s">
        <v>24</v>
      </c>
      <c r="W13" s="23" t="s">
        <v>25</v>
      </c>
      <c r="X13" s="24" t="s">
        <v>26</v>
      </c>
      <c r="Y13" s="25" t="s">
        <v>16</v>
      </c>
      <c r="Z13" s="4"/>
      <c r="AA13" s="5"/>
      <c r="AB13" s="1" t="s">
        <v>48</v>
      </c>
      <c r="AC13" s="1">
        <f>COUNTIF(K2:K1048576,"=BREAKER BLOCK")</f>
        <v>0</v>
      </c>
      <c r="AD13" s="23">
        <f>COUNTIFS(K2:K1048576,"=BREAKER BLOCK",M2:M1048576,"=WIN")</f>
        <v>0</v>
      </c>
      <c r="AE13" s="24">
        <f>COUNTIFS(K2:K1048576,"=BREAKER BLOCK",M2:M1048576,"=LOSS")</f>
        <v>0</v>
      </c>
      <c r="AF13" s="25">
        <f>COUNTIFS(K2:K1048576,"=BREAKER BLOCK",M2:M1048576,"=BREAK-EVEN")</f>
        <v>0</v>
      </c>
      <c r="AG13" s="5"/>
      <c r="AH13" s="5"/>
      <c r="AI13" s="5"/>
      <c r="AP13" s="12"/>
      <c r="AQ13" s="12"/>
      <c r="AR13" s="12"/>
      <c r="AS13" s="12"/>
      <c r="AT13" s="12"/>
      <c r="AU13" s="12"/>
      <c r="AV13" s="12"/>
      <c r="AW13" s="12"/>
      <c r="AX13" s="12"/>
      <c r="AY13" s="5"/>
    </row>
    <row r="14" spans="1:51" x14ac:dyDescent="0.35">
      <c r="T14" s="5"/>
      <c r="U14" s="1" t="s">
        <v>21</v>
      </c>
      <c r="V14" s="1">
        <f>COUNTIF(D2:D1048576,"=MONDAY")</f>
        <v>0</v>
      </c>
      <c r="W14" s="23">
        <f>COUNTIFS(D2:D1048576,"=MONDAY",M2:M1048576,"=WIN")</f>
        <v>0</v>
      </c>
      <c r="X14" s="24">
        <f>COUNTIFS(D2:D1048576,"=MONDAY",M2:M1048576,"=LOSS")</f>
        <v>0</v>
      </c>
      <c r="Y14" s="25">
        <f>COUNTIFS(D2:D1048576,"=MONDAY",M2:M1048576,"=BREAK-EVEN")</f>
        <v>0</v>
      </c>
      <c r="Z14" s="4"/>
      <c r="AA14" s="5"/>
      <c r="AB14" s="1" t="s">
        <v>49</v>
      </c>
      <c r="AC14" s="1">
        <f>COUNTIF(K2:K1048576,"=FVG/IMB")</f>
        <v>0</v>
      </c>
      <c r="AD14" s="23">
        <f>COUNTIFS(K2:K1048576,"=FVG/IMB",M2:M1048576,"=WIN")</f>
        <v>0</v>
      </c>
      <c r="AE14" s="24">
        <f>COUNTIFS(K2:K1048576,"=FVG/IMB",M2:M1048576,"=LOSS")</f>
        <v>0</v>
      </c>
      <c r="AF14" s="25">
        <f>COUNTIFS(K2:K1048576,"=FVG/IMB",M2:M1048576,"=BREAK-EVEN")</f>
        <v>0</v>
      </c>
      <c r="AG14" s="5"/>
      <c r="AH14" s="5"/>
      <c r="AI14" s="5"/>
      <c r="AP14" s="12"/>
      <c r="AQ14" s="12"/>
      <c r="AR14" s="12"/>
      <c r="AS14" s="12"/>
      <c r="AT14" s="12"/>
      <c r="AU14" s="12"/>
      <c r="AV14" s="12"/>
      <c r="AW14" s="12"/>
      <c r="AX14" s="12"/>
      <c r="AY14" s="5"/>
    </row>
    <row r="15" spans="1:51" x14ac:dyDescent="0.35">
      <c r="T15" s="5"/>
      <c r="U15" s="1" t="s">
        <v>30</v>
      </c>
      <c r="V15" s="1">
        <f>COUNTIF(D2:D1048576,"=TUESDAY")</f>
        <v>0</v>
      </c>
      <c r="W15" s="23">
        <f>COUNTIFS(D2:D1048576,"=TUESDAY",M2:M1048576,"=WIN")</f>
        <v>0</v>
      </c>
      <c r="X15" s="24">
        <f>COUNTIFS(D2:D1048576,"=TUESDAY",M2:M1048576,"=LOSS")</f>
        <v>0</v>
      </c>
      <c r="Y15" s="25">
        <f>COUNTIFS(D2:D1048576,"=TUESDAY",M2:M1048576,"=BREAK-EVEN")</f>
        <v>0</v>
      </c>
      <c r="Z15" s="4"/>
      <c r="AA15" s="5"/>
      <c r="AB15" s="4"/>
      <c r="AC15" s="4"/>
      <c r="AD15" s="4"/>
      <c r="AE15" s="4"/>
      <c r="AF15" s="4"/>
      <c r="AG15" s="5"/>
      <c r="AH15" s="5"/>
      <c r="AI15" s="5"/>
      <c r="AJ15" s="36" t="s">
        <v>65</v>
      </c>
      <c r="AK15" s="36"/>
      <c r="AL15" s="36"/>
      <c r="AM15" s="36"/>
      <c r="AN15" s="36"/>
      <c r="AO15" s="36"/>
      <c r="AP15" s="12"/>
      <c r="AQ15" s="12"/>
      <c r="AR15" s="12"/>
      <c r="AS15" s="12"/>
      <c r="AT15" s="12"/>
      <c r="AU15" s="12"/>
      <c r="AV15" s="12"/>
      <c r="AW15" s="12"/>
      <c r="AX15" s="12"/>
      <c r="AY15" s="5"/>
    </row>
    <row r="16" spans="1:51" x14ac:dyDescent="0.35">
      <c r="T16" s="5"/>
      <c r="U16" s="1" t="s">
        <v>22</v>
      </c>
      <c r="V16" s="1">
        <f>COUNTIF(D2:D1048576,"WEDNESDAY")</f>
        <v>0</v>
      </c>
      <c r="W16" s="23">
        <f>COUNTIFS(D2:D1048576,"=WEDNESDAY",M2:M1048576,"=WIN")</f>
        <v>0</v>
      </c>
      <c r="X16" s="24">
        <f>COUNTIFS(D2:D1048576,"=WEDNESDAY",M2:M1048576,"=LOSS")</f>
        <v>0</v>
      </c>
      <c r="Y16" s="25">
        <f>COUNTIFS(D2:D1048576,"=WEDNESDAY",M2:M1048576,"=BREAK-EVEN")</f>
        <v>0</v>
      </c>
      <c r="Z16" s="4"/>
      <c r="AA16" s="5"/>
      <c r="AB16" s="4"/>
      <c r="AC16" s="4"/>
      <c r="AD16" s="4"/>
      <c r="AE16" s="4"/>
      <c r="AF16" s="4"/>
      <c r="AG16" s="5"/>
      <c r="AH16" s="5"/>
      <c r="AI16" s="5"/>
      <c r="AJ16" s="1" t="s">
        <v>67</v>
      </c>
      <c r="AK16" s="36" t="s">
        <v>66</v>
      </c>
      <c r="AL16" s="36"/>
      <c r="AM16" s="36"/>
      <c r="AN16" s="36"/>
      <c r="AO16" s="36"/>
      <c r="AP16" s="12"/>
      <c r="AQ16" s="12"/>
      <c r="AR16" s="12"/>
      <c r="AS16" s="12"/>
      <c r="AT16" s="12"/>
      <c r="AU16" s="12"/>
      <c r="AV16" s="12"/>
      <c r="AW16" s="12"/>
      <c r="AX16" s="12"/>
      <c r="AY16" s="5"/>
    </row>
    <row r="17" spans="20:51" x14ac:dyDescent="0.35">
      <c r="T17" s="5"/>
      <c r="U17" s="1" t="s">
        <v>31</v>
      </c>
      <c r="V17" s="1">
        <f>COUNTIF(D2:D1048576,"=THURSDAY")</f>
        <v>0</v>
      </c>
      <c r="W17" s="23">
        <f>COUNTIFS(D2:D1048576,"=THURSDAY",M2:M1048576,"=WIN")</f>
        <v>0</v>
      </c>
      <c r="X17" s="24">
        <f>COUNTIFS(D2:D1048576,"=THURSDAY",M2:M1048576,"=LOSS")</f>
        <v>0</v>
      </c>
      <c r="Y17" s="25">
        <f>COUNTIFS(D2:D1048576,"=THURSDAY",M2:M1048576,"=BREAK-EVEN")</f>
        <v>0</v>
      </c>
      <c r="Z17" s="4"/>
      <c r="AA17" s="5"/>
      <c r="AB17" s="4"/>
      <c r="AC17" s="4"/>
      <c r="AD17" s="4"/>
      <c r="AE17" s="4"/>
      <c r="AF17" s="4"/>
      <c r="AG17" s="5"/>
      <c r="AH17" s="5"/>
      <c r="AI17" s="5"/>
      <c r="AK17" s="1" t="s">
        <v>24</v>
      </c>
      <c r="AL17" s="1" t="s">
        <v>58</v>
      </c>
      <c r="AM17" s="1" t="s">
        <v>26</v>
      </c>
      <c r="AN17" s="1" t="s">
        <v>64</v>
      </c>
      <c r="AO17" s="1" t="s">
        <v>51</v>
      </c>
      <c r="AP17" s="12"/>
      <c r="AQ17" s="12"/>
      <c r="AR17" s="12"/>
      <c r="AS17" s="12"/>
      <c r="AT17" s="12"/>
      <c r="AU17" s="12"/>
      <c r="AV17" s="12"/>
      <c r="AW17" s="12"/>
      <c r="AX17" s="12"/>
      <c r="AY17" s="5"/>
    </row>
    <row r="18" spans="20:51" x14ac:dyDescent="0.35">
      <c r="T18" s="5"/>
      <c r="U18" s="1" t="s">
        <v>32</v>
      </c>
      <c r="V18" s="1">
        <f>COUNTIF(D2:D1048576,"=FRIDAY")</f>
        <v>0</v>
      </c>
      <c r="W18" s="23">
        <f>COUNTIFS(D2:D1048576,"=FRIDAY",M2:M1048576,"=WIN")</f>
        <v>0</v>
      </c>
      <c r="X18" s="24">
        <f>COUNTIFS(D2:D1048576,"=FRIDAY",M2:M1048576,"=LOSS")</f>
        <v>0</v>
      </c>
      <c r="Y18" s="25">
        <f>COUNTIFS(D2:D1048576,"=FRIDAY",M2:M1048576,"=BREAK-EVEN")</f>
        <v>0</v>
      </c>
      <c r="Z18" s="1">
        <f>SUM(V14:V18)</f>
        <v>0</v>
      </c>
      <c r="AA18" s="5"/>
      <c r="AB18" s="1" t="s">
        <v>36</v>
      </c>
      <c r="AC18" s="1" t="s">
        <v>24</v>
      </c>
      <c r="AD18" s="4"/>
      <c r="AE18" s="4"/>
      <c r="AF18" s="4"/>
      <c r="AG18" s="5"/>
      <c r="AH18" s="5"/>
      <c r="AI18" s="5"/>
      <c r="AJ18" s="21" t="s">
        <v>57</v>
      </c>
      <c r="AK18" s="21">
        <f>COUNTIFS(E:E,"=LONDON",K:K,"=ORDER BLOCK")</f>
        <v>0</v>
      </c>
      <c r="AL18" s="23">
        <f>COUNTIFS(E:E,"=LONDON",K:K,"=ORDER BLOCK", M:M,"=WIN")</f>
        <v>0</v>
      </c>
      <c r="AM18" s="24">
        <f>COUNTIFS(E:E,"=LONDON",K:K,"=ORDER BLOCK", M:M,"=LOSS")</f>
        <v>0</v>
      </c>
      <c r="AN18" s="25">
        <f>COUNTIFS(E:E,"=LONDON",K:K,"=ORDER BLOCK", M:M,"=BREAK-EVEN")</f>
        <v>0</v>
      </c>
      <c r="AO18" s="1" t="e">
        <f>AL18/AK18*100</f>
        <v>#DIV/0!</v>
      </c>
      <c r="AP18" s="12"/>
      <c r="AQ18" s="12"/>
      <c r="AR18" s="12"/>
      <c r="AS18" s="12"/>
      <c r="AT18" s="12"/>
      <c r="AU18" s="12"/>
      <c r="AV18" s="12"/>
      <c r="AW18" s="12"/>
      <c r="AX18" s="12"/>
      <c r="AY18" s="5"/>
    </row>
    <row r="19" spans="20:51" x14ac:dyDescent="0.35">
      <c r="T19" s="5"/>
      <c r="U19" s="4"/>
      <c r="V19" s="4"/>
      <c r="W19" s="4"/>
      <c r="X19" s="4"/>
      <c r="Y19" s="4"/>
      <c r="Z19" s="4"/>
      <c r="AA19" s="5"/>
      <c r="AB19" s="1" t="s">
        <v>18</v>
      </c>
      <c r="AC19" s="1">
        <f>COUNTIF(L2:L1048576,"=1 MIN")</f>
        <v>0</v>
      </c>
      <c r="AD19" s="4"/>
      <c r="AE19" s="4"/>
      <c r="AF19" s="4"/>
      <c r="AG19" s="5"/>
      <c r="AH19" s="5"/>
      <c r="AI19" s="5"/>
      <c r="AJ19" s="22" t="s">
        <v>56</v>
      </c>
      <c r="AK19" s="22">
        <f>COUNTIFS(E:E,"=NEW YORK",K:K,"=ORDER BLOCK")</f>
        <v>0</v>
      </c>
      <c r="AL19" s="23">
        <f>COUNTIFS(E:E,"=NEW YORK",K:K,"=ORDER BLOCK", M:M,"=WIN")</f>
        <v>0</v>
      </c>
      <c r="AM19" s="24">
        <f>COUNTIFS(E:E,"=NEW YORK",K:K,"=ORDER BLOCK", M:M,"=LOSS")</f>
        <v>0</v>
      </c>
      <c r="AN19" s="25">
        <f>COUNTIFS(E:E,"=NEW YORK",K:K,"=ORDER BLOCK", M:M,"=BREAK-EVEN")</f>
        <v>0</v>
      </c>
      <c r="AO19" s="1" t="e">
        <f>AL19/AK19*100</f>
        <v>#DIV/0!</v>
      </c>
      <c r="AP19" s="12"/>
      <c r="AQ19" s="12"/>
      <c r="AR19" s="12"/>
      <c r="AS19" s="12"/>
      <c r="AT19" s="12"/>
      <c r="AU19" s="12"/>
      <c r="AV19" s="12"/>
      <c r="AW19" s="12"/>
      <c r="AX19" s="12"/>
      <c r="AY19" s="5"/>
    </row>
    <row r="20" spans="20:51" x14ac:dyDescent="0.35">
      <c r="T20" s="5"/>
      <c r="U20" s="4"/>
      <c r="V20" s="4"/>
      <c r="W20" s="4"/>
      <c r="X20" s="4"/>
      <c r="Y20" s="4"/>
      <c r="Z20" s="4"/>
      <c r="AA20" s="5"/>
      <c r="AB20" s="1" t="s">
        <v>44</v>
      </c>
      <c r="AC20" s="1">
        <f>COUNTIF(L2:L1048576,"=3 MIN")</f>
        <v>0</v>
      </c>
      <c r="AD20" s="4"/>
      <c r="AE20" s="4"/>
      <c r="AF20" s="4"/>
      <c r="AG20" s="5"/>
      <c r="AH20" s="5"/>
      <c r="AI20" s="5"/>
      <c r="AJ20" s="1" t="s">
        <v>69</v>
      </c>
      <c r="AK20" s="1">
        <f>COUNTIFS(E:E,"=ASIAN",K:K,"=ORDER BLOCK")</f>
        <v>0</v>
      </c>
      <c r="AL20" s="23">
        <f>COUNTIFS(E:E,"=ASIAN",K:K,"=ORDER BLOCK", M:M,"=WIN")</f>
        <v>0</v>
      </c>
      <c r="AM20" s="24">
        <f>COUNTIFS(E:E,"=ASIAN",K:K,"=ORDER BLOCK", M:M,"=LOSS")</f>
        <v>0</v>
      </c>
      <c r="AN20" s="25">
        <f>COUNTIFS(E:E,"=ASIAN",K:K,"=ORDER BLOCK", M:M,"=BREAK-EVEN")</f>
        <v>0</v>
      </c>
      <c r="AO20" s="1" t="e">
        <f>AL20/AK20*100</f>
        <v>#DIV/0!</v>
      </c>
      <c r="AP20" s="12"/>
      <c r="AQ20" s="12"/>
      <c r="AR20" s="12"/>
      <c r="AS20" s="12"/>
      <c r="AT20" s="12"/>
      <c r="AU20" s="12"/>
      <c r="AV20" s="12"/>
      <c r="AW20" s="12"/>
      <c r="AX20" s="12"/>
      <c r="AY20" s="5"/>
    </row>
    <row r="21" spans="20:51" x14ac:dyDescent="0.35">
      <c r="T21" s="5"/>
      <c r="U21" s="1" t="s">
        <v>4</v>
      </c>
      <c r="V21" s="1" t="s">
        <v>24</v>
      </c>
      <c r="W21" s="4"/>
      <c r="X21" s="4"/>
      <c r="Y21" s="4"/>
      <c r="Z21" s="4"/>
      <c r="AA21" s="5"/>
      <c r="AB21" s="1" t="s">
        <v>45</v>
      </c>
      <c r="AC21" s="1">
        <f>COUNTIF(L2:L1048576,"=5 MIN")</f>
        <v>0</v>
      </c>
      <c r="AD21" s="4"/>
      <c r="AE21" s="4"/>
      <c r="AF21" s="4"/>
      <c r="AG21" s="5"/>
      <c r="AH21" s="5"/>
      <c r="AI21" s="5"/>
      <c r="AP21" s="12"/>
      <c r="AQ21" s="12"/>
      <c r="AR21" s="12"/>
      <c r="AS21" s="12"/>
      <c r="AT21" s="12"/>
      <c r="AU21" s="12"/>
      <c r="AV21" s="12"/>
      <c r="AW21" s="12"/>
      <c r="AX21" s="12"/>
      <c r="AY21" s="5"/>
    </row>
    <row r="22" spans="20:51" x14ac:dyDescent="0.35">
      <c r="T22" s="5"/>
      <c r="U22" s="1" t="s">
        <v>33</v>
      </c>
      <c r="V22" s="1">
        <f>COUNTIF(I2:I1048576,"=SCALP")</f>
        <v>0</v>
      </c>
      <c r="W22" s="4"/>
      <c r="X22" s="4"/>
      <c r="Y22" s="4"/>
      <c r="Z22" s="4"/>
      <c r="AA22" s="5"/>
      <c r="AB22" s="1" t="s">
        <v>46</v>
      </c>
      <c r="AC22" s="1">
        <f>COUNTIF(L2:L1048576,"=15 MIN")</f>
        <v>0</v>
      </c>
      <c r="AD22" s="4"/>
      <c r="AE22" s="4"/>
      <c r="AF22" s="4"/>
      <c r="AG22" s="5"/>
      <c r="AH22" s="5"/>
      <c r="AI22" s="5"/>
      <c r="AJ22" s="1" t="s">
        <v>67</v>
      </c>
      <c r="AK22" s="36" t="s">
        <v>68</v>
      </c>
      <c r="AL22" s="36"/>
      <c r="AM22" s="36"/>
      <c r="AN22" s="36"/>
      <c r="AO22" s="36"/>
      <c r="AP22" s="12"/>
      <c r="AQ22" s="12"/>
      <c r="AR22" s="12"/>
      <c r="AS22" s="12"/>
      <c r="AT22" s="12"/>
      <c r="AU22" s="12"/>
      <c r="AV22" s="12"/>
      <c r="AW22" s="12"/>
      <c r="AX22" s="12"/>
      <c r="AY22" s="5"/>
    </row>
    <row r="23" spans="20:51" x14ac:dyDescent="0.35">
      <c r="T23" s="5"/>
      <c r="U23" s="1" t="s">
        <v>20</v>
      </c>
      <c r="V23" s="1">
        <f>COUNTIF(I2:I1048576,"=DAY")</f>
        <v>0</v>
      </c>
      <c r="W23" s="4"/>
      <c r="X23" s="4"/>
      <c r="Y23" s="4"/>
      <c r="Z23" s="4"/>
      <c r="AA23" s="5"/>
      <c r="AB23" s="1" t="s">
        <v>47</v>
      </c>
      <c r="AC23" s="1">
        <f>COUNTIF(L2:L1048576,"=30 MIN")</f>
        <v>0</v>
      </c>
      <c r="AD23" s="4"/>
      <c r="AE23" s="4"/>
      <c r="AF23" s="4"/>
      <c r="AG23" s="5"/>
      <c r="AH23" s="5"/>
      <c r="AI23" s="5"/>
      <c r="AJ23" s="21" t="s">
        <v>57</v>
      </c>
      <c r="AK23" s="21">
        <f>COUNTIFS(E:E,"=LONDON",K:K,"=BREAKER BLOCK")</f>
        <v>0</v>
      </c>
      <c r="AL23" s="23">
        <f>COUNTIFS(E:E,"=LONDON",K:K,"=BREAKER BLOCK", M:M,"=WIN")</f>
        <v>0</v>
      </c>
      <c r="AM23" s="24">
        <f>COUNTIFS(E:E,"=LONDON",K:K,"=BREAKER BLOCK", M:M,"=LOSS")</f>
        <v>0</v>
      </c>
      <c r="AN23" s="25">
        <f>COUNTIFS(E:E,"=LONDON",K:K,"=BREAKER BLOCK", M:M,"=BREAK-EVEN")</f>
        <v>0</v>
      </c>
      <c r="AO23" s="1" t="e">
        <f>AL23/AK23</f>
        <v>#DIV/0!</v>
      </c>
      <c r="AP23" s="12"/>
      <c r="AQ23" s="12"/>
      <c r="AR23" s="12"/>
      <c r="AS23" s="12"/>
      <c r="AT23" s="12"/>
      <c r="AU23" s="12"/>
      <c r="AV23" s="12"/>
      <c r="AW23" s="12"/>
      <c r="AX23" s="12"/>
      <c r="AY23" s="5"/>
    </row>
    <row r="24" spans="20:51" x14ac:dyDescent="0.35">
      <c r="T24" s="5"/>
      <c r="U24" s="1" t="s">
        <v>34</v>
      </c>
      <c r="V24" s="1">
        <f>COUNTIF(I2:I1048576,"=SWING")</f>
        <v>0</v>
      </c>
      <c r="W24" s="4"/>
      <c r="X24" s="4"/>
      <c r="Y24" s="4"/>
      <c r="Z24" s="4"/>
      <c r="AA24" s="5"/>
      <c r="AB24" s="1" t="s">
        <v>17</v>
      </c>
      <c r="AC24" s="1">
        <f>COUNTIF(L2:L1048576,"=1 HR")</f>
        <v>0</v>
      </c>
      <c r="AD24" s="4"/>
      <c r="AE24" s="4"/>
      <c r="AF24" s="4"/>
      <c r="AG24" s="5"/>
      <c r="AH24" s="5"/>
      <c r="AI24" s="5"/>
      <c r="AJ24" s="22" t="s">
        <v>56</v>
      </c>
      <c r="AK24" s="22">
        <f>COUNTIFS(E:E,"=NEW YORK",K:K,"=BREAKER BLOCK")</f>
        <v>0</v>
      </c>
      <c r="AL24" s="23">
        <f>COUNTIFS(E:E,"=NEW YORK",K:K,"=BREAKER BLOCK", M:M,"=WIN")</f>
        <v>0</v>
      </c>
      <c r="AM24" s="24">
        <f>COUNTIFS(E:E,"=NEW YORK",K:K,"=BREAKER BLOCK", M:M,"=LOSS")</f>
        <v>0</v>
      </c>
      <c r="AN24" s="25">
        <f>COUNTIFS(E:E,"=NEW YORK",K:K,"=BREAKER BLOCK", M:M,"=BREAK-EVEN")</f>
        <v>0</v>
      </c>
      <c r="AO24" s="1" t="e">
        <f>AL24/AK24*100</f>
        <v>#DIV/0!</v>
      </c>
      <c r="AP24" s="12"/>
      <c r="AQ24" s="12"/>
      <c r="AR24" s="12"/>
      <c r="AS24" s="12"/>
      <c r="AT24" s="12"/>
      <c r="AU24" s="12"/>
      <c r="AV24" s="12"/>
      <c r="AW24" s="12"/>
      <c r="AX24" s="12"/>
      <c r="AY24" s="5"/>
    </row>
    <row r="25" spans="20:51" x14ac:dyDescent="0.35">
      <c r="T25" s="5"/>
      <c r="U25" s="4"/>
      <c r="V25" s="4"/>
      <c r="W25" s="4"/>
      <c r="X25" s="4"/>
      <c r="Y25" s="4"/>
      <c r="Z25" s="4"/>
      <c r="AA25" s="5"/>
      <c r="AB25" s="4"/>
      <c r="AC25" s="4"/>
      <c r="AD25" s="4"/>
      <c r="AE25" s="4"/>
      <c r="AF25" s="4"/>
      <c r="AG25" s="5"/>
      <c r="AH25" s="5"/>
      <c r="AI25" s="5"/>
      <c r="AJ25" s="1" t="s">
        <v>69</v>
      </c>
      <c r="AK25" s="1">
        <f>COUNTIFS(E:E,"=ASIAN",K:K,"=BREAKER BLOCK")</f>
        <v>0</v>
      </c>
      <c r="AL25" s="23">
        <f>COUNTIFS(E:E,"=ASIAN",K:K,"=BREAKER BLOCK", M:M,"=WIN")</f>
        <v>0</v>
      </c>
      <c r="AM25" s="24">
        <f>COUNTIFS(E:E,"=ASIAN",K:K,"=BREAKER BLOCK", M:M,"=LOSS")</f>
        <v>0</v>
      </c>
      <c r="AN25" s="25">
        <f>COUNTIFS(E:E,"=ASIAN",K:K,"=BREAKER BLOCK", M:M,"=BREAK-EVEN")</f>
        <v>0</v>
      </c>
      <c r="AO25" s="1" t="e">
        <f>AL25/AK25*100</f>
        <v>#DIV/0!</v>
      </c>
      <c r="AP25" s="12"/>
      <c r="AQ25" s="12"/>
      <c r="AR25" s="12"/>
      <c r="AS25" s="12"/>
      <c r="AT25" s="12"/>
      <c r="AU25" s="12"/>
      <c r="AV25" s="12"/>
      <c r="AW25" s="12"/>
      <c r="AX25" s="12"/>
      <c r="AY25" s="5"/>
    </row>
    <row r="26" spans="20:51" x14ac:dyDescent="0.35">
      <c r="T26" s="5"/>
      <c r="U26" s="36" t="s">
        <v>60</v>
      </c>
      <c r="V26" s="36"/>
      <c r="W26" s="36"/>
      <c r="X26" s="36"/>
      <c r="Y26" s="36"/>
      <c r="Z26" s="36"/>
      <c r="AA26" s="5"/>
      <c r="AB26" s="1" t="s">
        <v>37</v>
      </c>
      <c r="AC26" s="1" t="s">
        <v>24</v>
      </c>
      <c r="AD26" s="4"/>
      <c r="AE26" s="4"/>
      <c r="AF26" s="4"/>
      <c r="AG26" s="5"/>
      <c r="AH26" s="5"/>
      <c r="AI26" s="5"/>
      <c r="AP26" s="12"/>
      <c r="AQ26" s="12"/>
      <c r="AR26" s="12"/>
      <c r="AS26" s="12"/>
      <c r="AT26" s="12"/>
      <c r="AU26" s="12"/>
      <c r="AV26" s="12"/>
      <c r="AW26" s="12"/>
      <c r="AX26" s="12"/>
      <c r="AY26" s="5"/>
    </row>
    <row r="27" spans="20:51" x14ac:dyDescent="0.35">
      <c r="T27" s="5"/>
      <c r="U27" s="11" t="s">
        <v>61</v>
      </c>
      <c r="V27" s="1" t="s">
        <v>24</v>
      </c>
      <c r="W27" s="23" t="s">
        <v>58</v>
      </c>
      <c r="X27" s="24" t="s">
        <v>26</v>
      </c>
      <c r="Y27" s="25" t="s">
        <v>16</v>
      </c>
      <c r="Z27" s="1" t="s">
        <v>51</v>
      </c>
      <c r="AA27" s="5"/>
      <c r="AB27" s="1" t="s">
        <v>40</v>
      </c>
      <c r="AC27" s="1">
        <f>COUNTIF(N2:N1048576,"=YES")</f>
        <v>0</v>
      </c>
      <c r="AD27" s="4"/>
      <c r="AE27" s="4"/>
      <c r="AF27" s="4"/>
      <c r="AG27" s="5"/>
      <c r="AH27" s="5"/>
      <c r="AI27" s="5"/>
      <c r="AJ27" s="7" t="s">
        <v>67</v>
      </c>
      <c r="AK27" s="37" t="s">
        <v>59</v>
      </c>
      <c r="AL27" s="37"/>
      <c r="AM27" s="37"/>
      <c r="AN27" s="37"/>
      <c r="AO27" s="37"/>
      <c r="AP27" s="12"/>
      <c r="AQ27" s="12"/>
      <c r="AR27" s="12"/>
      <c r="AS27" s="12"/>
      <c r="AT27" s="12"/>
      <c r="AU27" s="12"/>
      <c r="AV27" s="12"/>
      <c r="AW27" s="12"/>
      <c r="AX27" s="12"/>
      <c r="AY27" s="5"/>
    </row>
    <row r="28" spans="20:51" x14ac:dyDescent="0.35">
      <c r="T28" s="5"/>
      <c r="U28" s="26" t="s">
        <v>57</v>
      </c>
      <c r="V28" s="21">
        <f>COUNTIF(E2:E1048576,"LONDON")</f>
        <v>0</v>
      </c>
      <c r="W28" s="23">
        <f>COUNTIFS(E2:E1048576,"=LONDON",M2:M1048576,"=WIN")</f>
        <v>0</v>
      </c>
      <c r="X28" s="24">
        <f>COUNTIFS(E2:E1048576,"=LONDON",M2:M1048576,"=LOSS")</f>
        <v>0</v>
      </c>
      <c r="Y28" s="25">
        <f>COUNTIFS(E2:E1048576,"=LONDON",M2:M1048576,"=BREAK-EVEN")</f>
        <v>0</v>
      </c>
      <c r="Z28" s="1" t="e">
        <f>W28/V28*100</f>
        <v>#DIV/0!</v>
      </c>
      <c r="AA28" s="5"/>
      <c r="AB28" s="1" t="s">
        <v>41</v>
      </c>
      <c r="AC28" s="1">
        <f>COUNTIF(O2:O1048576,"=YES")</f>
        <v>0</v>
      </c>
      <c r="AD28" s="4"/>
      <c r="AE28" s="4"/>
      <c r="AF28" s="4"/>
      <c r="AG28" s="5"/>
      <c r="AH28" s="5"/>
      <c r="AI28" s="5"/>
      <c r="AJ28" s="21" t="s">
        <v>57</v>
      </c>
      <c r="AK28" s="21">
        <f>COUNTIFS(E:E,"=LONDON",K:K,"=FVG/IMB")</f>
        <v>0</v>
      </c>
      <c r="AL28" s="23">
        <f>COUNTIFS(E:E,"=LONDON",K:K,"=FVG/IMB", M:M,"=WIN")</f>
        <v>0</v>
      </c>
      <c r="AM28" s="24">
        <f>COUNTIFS(E:E,"=LONDON",K:K,"=FVG/IMB", M:M,"=LOSS")</f>
        <v>0</v>
      </c>
      <c r="AN28" s="25">
        <f>COUNTIFS(E:E,"=LONDON",K:K,"=FVG/IMB", M:M,"=BREAK-EVEN")</f>
        <v>0</v>
      </c>
      <c r="AO28" s="1" t="e">
        <f>AL28/AK28*100</f>
        <v>#DIV/0!</v>
      </c>
      <c r="AP28" s="12"/>
      <c r="AQ28" s="12"/>
      <c r="AR28" s="12"/>
      <c r="AS28" s="12"/>
      <c r="AT28" s="12"/>
      <c r="AU28" s="12"/>
      <c r="AV28" s="12"/>
      <c r="AW28" s="12"/>
      <c r="AX28" s="12"/>
      <c r="AY28" s="5"/>
    </row>
    <row r="29" spans="20:51" x14ac:dyDescent="0.35">
      <c r="T29" s="5"/>
      <c r="U29" s="27" t="s">
        <v>56</v>
      </c>
      <c r="V29" s="20">
        <f>COUNTIF(E2:E1048576,"NEW YORK")</f>
        <v>0</v>
      </c>
      <c r="W29" s="23">
        <f>COUNTIFS(E2:E1048576,"=NEW YORK",M2:M1048576,"=WIN")</f>
        <v>0</v>
      </c>
      <c r="X29" s="24">
        <f>COUNTIFS(E2:E1048576,"=NEW YORK",M2:M1048576,"=LOSS")</f>
        <v>0</v>
      </c>
      <c r="Y29" s="25">
        <f>COUNTIFS(E2:E1048576,"=NEW YORK",M2:M1048576,"=BREAK-EVEN")</f>
        <v>0</v>
      </c>
      <c r="Z29" s="1" t="e">
        <f>W29/V29*100</f>
        <v>#DIV/0!</v>
      </c>
      <c r="AA29" s="5"/>
      <c r="AB29" s="1" t="s">
        <v>42</v>
      </c>
      <c r="AC29" s="1">
        <f>COUNTIF(P2:P1048576,"=YES")</f>
        <v>0</v>
      </c>
      <c r="AD29" s="4"/>
      <c r="AE29" s="4"/>
      <c r="AF29" s="4"/>
      <c r="AG29" s="5"/>
      <c r="AH29" s="5"/>
      <c r="AI29" s="5"/>
      <c r="AJ29" s="22" t="s">
        <v>56</v>
      </c>
      <c r="AK29" s="22">
        <f>COUNTIFS(E:E,"=NEW YORK",K:K,"=FVG/IMB")</f>
        <v>0</v>
      </c>
      <c r="AL29" s="23">
        <f>COUNTIFS(E:E,"=NEW YORK",K:K,"=FVG/IMB", M:M,"=WIN")</f>
        <v>0</v>
      </c>
      <c r="AM29" s="24">
        <f>COUNTIFS(E:E,"=NEW YORK",K:K,"=FVG/IMB", M:M,"=LOSS")</f>
        <v>0</v>
      </c>
      <c r="AN29" s="25">
        <f>COUNTIFS(E:E,"=NEW YORK",K:K,"=FVG/IMB", M:M,"=BREAK-EVEN")</f>
        <v>0</v>
      </c>
      <c r="AO29" s="1" t="e">
        <f>AL29/AK29*100</f>
        <v>#DIV/0!</v>
      </c>
      <c r="AP29" s="12"/>
      <c r="AQ29" s="12"/>
      <c r="AR29" s="12"/>
      <c r="AS29" s="12"/>
      <c r="AT29" s="12"/>
      <c r="AU29" s="12"/>
      <c r="AV29" s="12"/>
      <c r="AW29" s="12"/>
      <c r="AX29" s="12"/>
      <c r="AY29" s="5"/>
    </row>
    <row r="30" spans="20:51" x14ac:dyDescent="0.35">
      <c r="T30" s="5"/>
      <c r="U30" s="1" t="s">
        <v>69</v>
      </c>
      <c r="V30" s="1">
        <f>COUNTIF(E2:E1048576,"ASIAN")</f>
        <v>0</v>
      </c>
      <c r="W30" s="23">
        <f>COUNTIFS(E2:E1048576,"=ASIAN",M2:M1048576,"=WIN")</f>
        <v>0</v>
      </c>
      <c r="X30" s="24">
        <f>COUNTIFS(E2:E1048576,"=ASIAN",M2:M1048576,"=LOSS")</f>
        <v>0</v>
      </c>
      <c r="Y30" s="25">
        <f>COUNTIFS(E2:E1048576,"=ASIAN",M2:M1048576,"=BREAK-EVEN")</f>
        <v>0</v>
      </c>
      <c r="Z30" s="1" t="e">
        <f>W30/V30*100</f>
        <v>#DIV/0!</v>
      </c>
      <c r="AA30" s="5"/>
      <c r="AB30" s="1" t="s">
        <v>43</v>
      </c>
      <c r="AC30" s="1">
        <f>COUNTIF(Q2:Q1048576,"=YES")</f>
        <v>0</v>
      </c>
      <c r="AD30" s="4"/>
      <c r="AE30" s="4"/>
      <c r="AF30" s="4"/>
      <c r="AG30" s="5"/>
      <c r="AH30" s="5"/>
      <c r="AI30" s="5"/>
      <c r="AJ30" s="1" t="s">
        <v>69</v>
      </c>
      <c r="AK30" s="1">
        <f>COUNTIFS(E:E,"=ASIAN",K:K,"=FVG/IMB")</f>
        <v>0</v>
      </c>
      <c r="AL30" s="23">
        <f>COUNTIFS(E:E,"=ASIAN",K:K,"=FVG/IMB", M:M,"=WIN")</f>
        <v>0</v>
      </c>
      <c r="AM30" s="24">
        <f>COUNTIFS(E:E,"=ASIAN",K:K,"=FVG/IMB", M:M,"=LOSS")</f>
        <v>0</v>
      </c>
      <c r="AN30" s="25">
        <f>COUNTIFS(E:E,"=ASIAN",K:K,"=FVG/IMB", M:M,"=BREAK-EVEN")</f>
        <v>0</v>
      </c>
      <c r="AO30" s="1" t="e">
        <f>AL30/AK30*100</f>
        <v>#DIV/0!</v>
      </c>
      <c r="AP30" s="12"/>
      <c r="AQ30" s="12"/>
      <c r="AR30" s="12"/>
      <c r="AS30" s="12"/>
      <c r="AT30" s="12"/>
      <c r="AU30" s="12"/>
      <c r="AV30" s="12"/>
      <c r="AW30" s="12"/>
      <c r="AX30" s="12"/>
      <c r="AY30" s="5"/>
    </row>
    <row r="31" spans="20:51" x14ac:dyDescent="0.35">
      <c r="T31" s="5"/>
      <c r="U31" s="4"/>
      <c r="V31" s="4"/>
      <c r="W31" s="4"/>
      <c r="X31" s="4"/>
      <c r="Y31" s="4"/>
      <c r="Z31" s="4"/>
      <c r="AA31" s="5"/>
      <c r="AB31" s="4"/>
      <c r="AC31" s="4"/>
      <c r="AD31" s="4"/>
      <c r="AE31" s="4"/>
      <c r="AF31" s="4"/>
      <c r="AG31" s="5"/>
      <c r="AH31" s="5"/>
      <c r="AI31" s="5"/>
      <c r="AP31" s="12"/>
      <c r="AQ31" s="12"/>
      <c r="AR31" s="12"/>
      <c r="AS31" s="12"/>
      <c r="AT31" s="12"/>
      <c r="AU31" s="12"/>
      <c r="AV31" s="12"/>
      <c r="AW31" s="12"/>
      <c r="AX31" s="12"/>
      <c r="AY31" s="5"/>
    </row>
    <row r="32" spans="20:51" x14ac:dyDescent="0.35">
      <c r="T32" s="5"/>
      <c r="U32" s="4"/>
      <c r="V32" s="4"/>
      <c r="W32" s="4"/>
      <c r="X32" s="4"/>
      <c r="Y32" s="4"/>
      <c r="Z32" s="4"/>
      <c r="AA32" s="5"/>
      <c r="AB32" s="4"/>
      <c r="AC32" s="4"/>
      <c r="AD32" s="4"/>
      <c r="AE32" s="4"/>
      <c r="AF32" s="4"/>
      <c r="AG32" s="5"/>
      <c r="AH32" s="5"/>
      <c r="AI32" s="5"/>
      <c r="AJ32" s="4"/>
      <c r="AK32" s="4"/>
      <c r="AL32" s="4"/>
      <c r="AM32" s="4"/>
      <c r="AN32" s="4"/>
      <c r="AO32" s="4"/>
      <c r="AP32" s="12"/>
      <c r="AQ32" s="12"/>
      <c r="AR32" s="12"/>
      <c r="AS32" s="12"/>
      <c r="AT32" s="12"/>
      <c r="AU32" s="12"/>
      <c r="AV32" s="12"/>
      <c r="AW32" s="12"/>
      <c r="AX32" s="12"/>
      <c r="AY32" s="5"/>
    </row>
    <row r="33" spans="20:51" x14ac:dyDescent="0.35">
      <c r="T33" s="5"/>
      <c r="U33" s="4"/>
      <c r="V33" s="4"/>
      <c r="W33" s="4"/>
      <c r="X33" s="4"/>
      <c r="Y33" s="4"/>
      <c r="Z33" s="4"/>
      <c r="AA33" s="5"/>
      <c r="AB33" s="4"/>
      <c r="AC33" s="4"/>
      <c r="AD33" s="4"/>
      <c r="AE33" s="4"/>
      <c r="AF33" s="4"/>
      <c r="AG33" s="5"/>
      <c r="AH33" s="5"/>
      <c r="AI33" s="5"/>
      <c r="AJ33" s="4"/>
      <c r="AK33" s="4"/>
      <c r="AL33" s="4"/>
      <c r="AM33" s="4"/>
      <c r="AN33" s="4"/>
      <c r="AO33" s="4"/>
      <c r="AP33" s="12"/>
      <c r="AQ33" s="12"/>
      <c r="AR33" s="12"/>
      <c r="AS33" s="12"/>
      <c r="AT33" s="12"/>
      <c r="AU33" s="12"/>
      <c r="AV33" s="12"/>
      <c r="AW33" s="12"/>
      <c r="AX33" s="12"/>
      <c r="AY33" s="5"/>
    </row>
    <row r="34" spans="20:51" x14ac:dyDescent="0.35">
      <c r="T34" s="5"/>
      <c r="U34" s="4"/>
      <c r="V34" s="4"/>
      <c r="W34" s="4"/>
      <c r="X34" s="4"/>
      <c r="Y34" s="4"/>
      <c r="Z34" s="4"/>
      <c r="AA34" s="5"/>
      <c r="AB34" s="4"/>
      <c r="AC34" s="4"/>
      <c r="AD34" s="4"/>
      <c r="AE34" s="4"/>
      <c r="AF34" s="4"/>
      <c r="AG34" s="5"/>
      <c r="AH34" s="5"/>
      <c r="AI34" s="5"/>
      <c r="AP34" s="5"/>
      <c r="AQ34" s="5"/>
      <c r="AR34" s="5"/>
      <c r="AS34" s="5"/>
      <c r="AT34" s="5"/>
      <c r="AU34" s="5"/>
      <c r="AV34" s="5"/>
      <c r="AW34" s="5"/>
      <c r="AX34" s="5"/>
      <c r="AY34" s="5"/>
    </row>
    <row r="35" spans="20:51" x14ac:dyDescent="0.35">
      <c r="T35" s="5"/>
      <c r="U35" s="4"/>
      <c r="V35" s="4"/>
      <c r="W35" s="4"/>
      <c r="X35" s="4"/>
      <c r="Y35" s="4"/>
      <c r="Z35" s="4"/>
      <c r="AA35" s="5"/>
      <c r="AB35" s="4"/>
      <c r="AC35" s="4"/>
      <c r="AD35" s="4"/>
      <c r="AE35" s="4"/>
      <c r="AF35" s="4"/>
      <c r="AG35" s="5"/>
      <c r="AH35" s="5"/>
      <c r="AI35" s="5"/>
      <c r="AP35" s="5"/>
      <c r="AQ35" s="5"/>
      <c r="AR35" s="5"/>
      <c r="AS35" s="5"/>
      <c r="AT35" s="5"/>
      <c r="AU35" s="5"/>
      <c r="AV35" s="5"/>
      <c r="AW35" s="5"/>
      <c r="AX35" s="5"/>
      <c r="AY35" s="5"/>
    </row>
    <row r="36" spans="20:51" x14ac:dyDescent="0.35">
      <c r="T36" s="5"/>
      <c r="U36" s="4"/>
      <c r="V36" s="4"/>
      <c r="W36" s="4"/>
      <c r="X36" s="4"/>
      <c r="Y36" s="4"/>
      <c r="Z36" s="4"/>
      <c r="AA36" s="5"/>
      <c r="AB36" s="4"/>
      <c r="AC36" s="4"/>
      <c r="AD36" s="4"/>
      <c r="AE36" s="4"/>
      <c r="AF36" s="4"/>
      <c r="AG36" s="5"/>
      <c r="AH36" s="5"/>
      <c r="AI36" s="5"/>
      <c r="AP36" s="5"/>
      <c r="AQ36" s="5"/>
      <c r="AR36" s="5"/>
      <c r="AS36" s="5"/>
      <c r="AT36" s="5"/>
      <c r="AU36" s="5"/>
      <c r="AV36" s="5"/>
      <c r="AW36" s="5"/>
      <c r="AX36" s="5"/>
      <c r="AY36" s="5"/>
    </row>
    <row r="37" spans="20:51" x14ac:dyDescent="0.35">
      <c r="T37" s="5"/>
      <c r="U37" s="4"/>
      <c r="V37" s="4"/>
      <c r="W37" s="4"/>
      <c r="X37" s="4"/>
      <c r="Y37" s="4"/>
      <c r="Z37" s="4"/>
      <c r="AA37" s="5"/>
      <c r="AB37" s="4"/>
      <c r="AC37" s="4"/>
      <c r="AD37" s="4"/>
      <c r="AE37" s="4"/>
      <c r="AF37" s="4"/>
      <c r="AG37" s="5"/>
      <c r="AH37" s="5"/>
      <c r="AI37" s="5"/>
      <c r="AP37" s="5"/>
      <c r="AQ37" s="5"/>
      <c r="AR37" s="5"/>
      <c r="AS37" s="5"/>
      <c r="AT37" s="5"/>
      <c r="AU37" s="5"/>
      <c r="AV37" s="5"/>
      <c r="AW37" s="5"/>
      <c r="AX37" s="5"/>
      <c r="AY37" s="5"/>
    </row>
    <row r="38" spans="20:51" x14ac:dyDescent="0.35">
      <c r="T38" s="5"/>
      <c r="U38" s="15"/>
      <c r="V38" s="16"/>
      <c r="W38" s="4"/>
      <c r="X38" s="4"/>
      <c r="Y38" s="4"/>
      <c r="Z38" s="4"/>
      <c r="AA38" s="5"/>
      <c r="AB38" s="4"/>
      <c r="AC38" s="4"/>
      <c r="AD38" s="4"/>
      <c r="AE38" s="4"/>
      <c r="AF38" s="4"/>
      <c r="AG38" s="5"/>
      <c r="AH38" s="5"/>
      <c r="AI38" s="5"/>
      <c r="AP38" s="5"/>
      <c r="AQ38" s="5"/>
      <c r="AR38" s="5"/>
      <c r="AS38" s="5"/>
      <c r="AT38" s="5"/>
      <c r="AU38" s="5"/>
      <c r="AV38" s="5"/>
      <c r="AW38" s="5"/>
      <c r="AX38" s="5"/>
      <c r="AY38" s="5"/>
    </row>
    <row r="39" spans="20:51" x14ac:dyDescent="0.35">
      <c r="T39" s="5"/>
      <c r="U39" s="4"/>
      <c r="V39" s="4"/>
      <c r="W39" s="4"/>
      <c r="X39" s="4"/>
      <c r="Y39" s="4"/>
      <c r="Z39" s="4"/>
      <c r="AA39" s="5"/>
      <c r="AB39" s="4"/>
      <c r="AC39" s="4"/>
      <c r="AD39" s="4"/>
      <c r="AE39" s="4"/>
      <c r="AF39" s="4"/>
      <c r="AG39" s="5"/>
      <c r="AH39" s="5"/>
      <c r="AI39" s="5"/>
      <c r="AP39" s="5"/>
      <c r="AQ39" s="5"/>
      <c r="AR39" s="5"/>
      <c r="AS39" s="5"/>
      <c r="AT39" s="5"/>
      <c r="AU39" s="5"/>
      <c r="AV39" s="5"/>
      <c r="AW39" s="5"/>
      <c r="AX39" s="5"/>
      <c r="AY39" s="5"/>
    </row>
    <row r="40" spans="20:51" x14ac:dyDescent="0.35">
      <c r="T40" s="5"/>
      <c r="U40" s="4"/>
      <c r="V40" s="4"/>
      <c r="W40" s="4"/>
      <c r="X40" s="4"/>
      <c r="Y40" s="4"/>
      <c r="Z40" s="4"/>
      <c r="AA40" s="5"/>
      <c r="AB40" s="4"/>
      <c r="AC40" s="4"/>
      <c r="AD40" s="4"/>
      <c r="AE40" s="4"/>
      <c r="AF40" s="4"/>
      <c r="AG40" s="5"/>
      <c r="AH40" s="5"/>
      <c r="AI40" s="5"/>
      <c r="AP40" s="5"/>
      <c r="AQ40" s="5"/>
      <c r="AR40" s="5"/>
      <c r="AS40" s="5"/>
      <c r="AT40" s="5"/>
      <c r="AU40" s="5"/>
      <c r="AV40" s="5"/>
      <c r="AW40" s="5"/>
      <c r="AX40" s="5"/>
      <c r="AY40" s="5"/>
    </row>
    <row r="41" spans="20:51" x14ac:dyDescent="0.35">
      <c r="T41" s="5"/>
      <c r="U41" s="4"/>
      <c r="V41" s="4"/>
      <c r="W41" s="4"/>
      <c r="X41" s="4"/>
      <c r="Y41" s="4"/>
      <c r="Z41" s="4"/>
      <c r="AA41" s="5"/>
      <c r="AG41" s="5"/>
      <c r="AH41" s="5"/>
      <c r="AI41" s="5"/>
      <c r="AP41" s="5"/>
      <c r="AQ41" s="5"/>
      <c r="AR41" s="5"/>
      <c r="AS41" s="5"/>
      <c r="AT41" s="5"/>
      <c r="AU41" s="5"/>
      <c r="AV41" s="5"/>
      <c r="AW41" s="5"/>
      <c r="AX41" s="5"/>
      <c r="AY41" s="5"/>
    </row>
    <row r="42" spans="20:51" x14ac:dyDescent="0.35">
      <c r="T42" s="5"/>
      <c r="U42" s="4"/>
      <c r="V42" s="4"/>
      <c r="W42" s="4"/>
      <c r="X42" s="4"/>
      <c r="Y42" s="4"/>
      <c r="Z42" s="4"/>
      <c r="AA42" s="5"/>
      <c r="AG42" s="5"/>
      <c r="AH42" s="5"/>
      <c r="AI42" s="5"/>
      <c r="AP42" s="5"/>
      <c r="AQ42" s="5"/>
      <c r="AR42" s="5"/>
      <c r="AS42" s="5"/>
      <c r="AT42" s="5"/>
      <c r="AU42" s="5"/>
      <c r="AV42" s="5"/>
      <c r="AW42" s="5"/>
      <c r="AX42" s="5"/>
      <c r="AY42" s="5"/>
    </row>
    <row r="46" spans="20:51" x14ac:dyDescent="0.35">
      <c r="V46" s="2"/>
    </row>
    <row r="47" spans="20:51" x14ac:dyDescent="0.35">
      <c r="U47" s="2"/>
    </row>
  </sheetData>
  <mergeCells count="9">
    <mergeCell ref="AK22:AO22"/>
    <mergeCell ref="U26:Z26"/>
    <mergeCell ref="AK27:AO27"/>
    <mergeCell ref="AB2:AC2"/>
    <mergeCell ref="AJ2:AN2"/>
    <mergeCell ref="AK3:AO3"/>
    <mergeCell ref="AK9:AO9"/>
    <mergeCell ref="AJ15:AO15"/>
    <mergeCell ref="AK16:AO16"/>
  </mergeCells>
  <dataValidations count="12">
    <dataValidation type="list" showInputMessage="1" showErrorMessage="1" sqref="J4" xr:uid="{23B2D107-F3D8-4012-BD78-0AD16C2765E4}">
      <formula1>"BREAK &amp; RETEST, LIQUIDITY GRAB (PREV H/L or TRENDLINE)"</formula1>
    </dataValidation>
    <dataValidation type="date" allowBlank="1" showInputMessage="1" showErrorMessage="1" sqref="A2:A1048576" xr:uid="{22D6DC47-462D-4378-BAD2-F81B6DF2E993}">
      <formula1>38353</formula1>
      <formula2>45291</formula2>
    </dataValidation>
    <dataValidation type="list" showInputMessage="1" showErrorMessage="1" sqref="B2:B1048576" xr:uid="{A05B06E9-3D7A-44C4-B807-F90B74F09B00}">
      <formula1>"EURUSD"</formula1>
    </dataValidation>
    <dataValidation type="list" showInputMessage="1" showErrorMessage="1" sqref="C1:C1048576" xr:uid="{8E475178-F6FC-475D-BD3E-B3315CB23BF5}">
      <formula1>"LONG, SHORT"</formula1>
    </dataValidation>
    <dataValidation type="list" showInputMessage="1" showErrorMessage="1" sqref="D2:D1048576" xr:uid="{A41B7DBE-C6D9-4BC0-A89D-C6F692455B5E}">
      <formula1>"MONDAY, TUESDAY, WEDNESDAY, THURSDAY, FRIDAY"</formula1>
    </dataValidation>
    <dataValidation type="list" showInputMessage="1" showErrorMessage="1" sqref="E2:E1048576" xr:uid="{D3D33C6A-1840-4059-9898-7996ECB5F9B1}">
      <formula1>"LONDON, NEW YORK, ASIAN"</formula1>
    </dataValidation>
    <dataValidation type="list" showInputMessage="1" showErrorMessage="1" sqref="I2:I1048576" xr:uid="{86F30055-A682-4EA6-995A-F28506B76D2B}">
      <formula1>"SCALP, DAY, SWING"</formula1>
    </dataValidation>
    <dataValidation type="list" showInputMessage="1" showErrorMessage="1" sqref="J2:J3 J5:J1048576" xr:uid="{A28A77E1-5319-407B-B50D-77383F90070B}">
      <formula1>"BREAK &amp; RETEST, LIQUIDITY GRAB (PREV H L or TRENDLINE)"</formula1>
    </dataValidation>
    <dataValidation type="list" showInputMessage="1" showErrorMessage="1" sqref="K2:K1048576" xr:uid="{1664C0AD-F6F0-44AE-ABB4-DC43AC244275}">
      <formula1>"ORDER BLOCK, BREAKER BLOCK, FVG/IMB"</formula1>
    </dataValidation>
    <dataValidation type="list" showInputMessage="1" showErrorMessage="1" sqref="L2:L1048576" xr:uid="{7ABC88CC-AF55-471C-B612-1E8B0CB52483}">
      <formula1>"1 MIN, 3 MIN, 5 MIN, 15 MIN, 30 MIN, 1 HR"</formula1>
    </dataValidation>
    <dataValidation type="list" showInputMessage="1" showErrorMessage="1" sqref="N2:Q1048576" xr:uid="{65F20F4F-68A5-43E5-93DA-03E0A7DB8FD3}">
      <formula1>"YES, NO"</formula1>
    </dataValidation>
    <dataValidation type="list" showInputMessage="1" showErrorMessage="1" sqref="M2:M1048576" xr:uid="{3A8ABBF3-C229-4E45-B602-65A3762877F7}">
      <formula1>"WIN, LOSS, BREAK-EVEN"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27ED6-50A2-4981-B7F0-514B2AAD3755}">
  <dimension ref="A1:AY47"/>
  <sheetViews>
    <sheetView zoomScale="70" zoomScaleNormal="70" workbookViewId="0">
      <selection activeCell="B2" sqref="B2:B1048576"/>
    </sheetView>
  </sheetViews>
  <sheetFormatPr defaultRowHeight="14.5" x14ac:dyDescent="0.35"/>
  <cols>
    <col min="1" max="1" width="12" style="3" customWidth="1"/>
    <col min="2" max="2" width="9.26953125" style="3" customWidth="1"/>
    <col min="3" max="3" width="10.26953125" style="3" customWidth="1"/>
    <col min="4" max="4" width="11.1796875" style="3" customWidth="1"/>
    <col min="5" max="5" width="15.6328125" style="3" customWidth="1"/>
    <col min="6" max="6" width="8.7265625" style="3"/>
    <col min="7" max="7" width="12.26953125" style="3" customWidth="1"/>
    <col min="8" max="8" width="15.453125" style="3" customWidth="1"/>
    <col min="9" max="9" width="12.08984375" style="3" customWidth="1"/>
    <col min="10" max="10" width="33.81640625" style="3" customWidth="1"/>
    <col min="11" max="11" width="16.90625" style="3" customWidth="1"/>
    <col min="12" max="12" width="15.90625" style="3" customWidth="1"/>
    <col min="13" max="13" width="11.54296875" style="3" customWidth="1"/>
    <col min="14" max="16" width="8.7265625" style="3"/>
    <col min="17" max="17" width="14.26953125" style="3" customWidth="1"/>
    <col min="18" max="18" width="36.453125" style="3" customWidth="1"/>
    <col min="19" max="19" width="39" style="3" customWidth="1"/>
    <col min="20" max="20" width="8.7265625" style="3"/>
    <col min="21" max="21" width="15.90625" style="1" customWidth="1"/>
    <col min="22" max="22" width="12.81640625" style="1" customWidth="1"/>
    <col min="23" max="24" width="8.7265625" style="1"/>
    <col min="25" max="25" width="11.6328125" style="1" customWidth="1"/>
    <col min="26" max="26" width="14.90625" style="1" customWidth="1"/>
    <col min="27" max="27" width="18.6328125" style="3" customWidth="1"/>
    <col min="28" max="28" width="35.90625" style="1" customWidth="1"/>
    <col min="29" max="29" width="18.36328125" style="1" customWidth="1"/>
    <col min="30" max="30" width="10.90625" style="1" customWidth="1"/>
    <col min="31" max="31" width="12.26953125" style="1" customWidth="1"/>
    <col min="32" max="32" width="12.6328125" style="1" customWidth="1"/>
    <col min="33" max="35" width="8.7265625" style="3"/>
    <col min="36" max="36" width="17.453125" style="1" customWidth="1"/>
    <col min="37" max="40" width="8.7265625" style="1"/>
    <col min="41" max="41" width="15.6328125" style="1" customWidth="1"/>
    <col min="42" max="16384" width="8.7265625" style="3"/>
  </cols>
  <sheetData>
    <row r="1" spans="1:51" x14ac:dyDescent="0.35">
      <c r="A1" s="1" t="s">
        <v>54</v>
      </c>
      <c r="B1" s="1" t="s">
        <v>0</v>
      </c>
      <c r="C1" s="1" t="s">
        <v>1</v>
      </c>
      <c r="D1" s="1" t="s">
        <v>2</v>
      </c>
      <c r="E1" s="1" t="s">
        <v>55</v>
      </c>
      <c r="F1" s="1" t="s">
        <v>3</v>
      </c>
      <c r="G1" s="1" t="s">
        <v>8</v>
      </c>
      <c r="H1" s="1" t="s">
        <v>52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15</v>
      </c>
      <c r="R1" s="1" t="s">
        <v>13</v>
      </c>
      <c r="S1" s="1" t="s">
        <v>14</v>
      </c>
      <c r="T1" s="5"/>
      <c r="U1" s="4"/>
      <c r="V1" s="4"/>
      <c r="W1" s="4"/>
      <c r="X1" s="4"/>
      <c r="Y1" s="4"/>
      <c r="Z1" s="4"/>
      <c r="AA1" s="5"/>
      <c r="AB1" s="4"/>
      <c r="AC1" s="4"/>
      <c r="AD1" s="4"/>
      <c r="AE1" s="4"/>
      <c r="AF1" s="4"/>
      <c r="AG1" s="5"/>
      <c r="AH1" s="5"/>
      <c r="AI1" s="5"/>
      <c r="AJ1" s="4"/>
      <c r="AK1" s="4"/>
      <c r="AL1" s="4"/>
      <c r="AM1" s="4"/>
      <c r="AN1" s="4"/>
      <c r="AO1" s="4"/>
      <c r="AP1" s="5"/>
      <c r="AQ1" s="5"/>
      <c r="AR1" s="5"/>
      <c r="AS1" s="5"/>
      <c r="AT1" s="5"/>
      <c r="AU1" s="5"/>
      <c r="AV1" s="5"/>
      <c r="AW1" s="5"/>
      <c r="AX1" s="5"/>
      <c r="AY1" s="5"/>
    </row>
    <row r="2" spans="1:51" x14ac:dyDescent="0.35">
      <c r="A2" s="8"/>
      <c r="E2" s="9"/>
      <c r="R2" s="14"/>
      <c r="S2" s="6"/>
      <c r="T2" s="5"/>
      <c r="U2" s="1" t="s">
        <v>27</v>
      </c>
      <c r="V2" s="1" t="s">
        <v>24</v>
      </c>
      <c r="W2" s="4"/>
      <c r="X2" s="4"/>
      <c r="Y2" s="4"/>
      <c r="Z2" s="4"/>
      <c r="AA2" s="5"/>
      <c r="AB2" s="36" t="s">
        <v>38</v>
      </c>
      <c r="AC2" s="36"/>
      <c r="AD2" s="4"/>
      <c r="AE2" s="4"/>
      <c r="AF2" s="4"/>
      <c r="AG2" s="5"/>
      <c r="AH2" s="5"/>
      <c r="AI2" s="5"/>
      <c r="AJ2" s="36" t="s">
        <v>62</v>
      </c>
      <c r="AK2" s="36"/>
      <c r="AL2" s="36"/>
      <c r="AM2" s="36"/>
      <c r="AN2" s="36"/>
      <c r="AP2" s="12"/>
      <c r="AQ2" s="12"/>
      <c r="AR2" s="12"/>
      <c r="AS2" s="12"/>
      <c r="AT2" s="12"/>
      <c r="AU2" s="12"/>
      <c r="AV2" s="12"/>
      <c r="AW2" s="12"/>
      <c r="AX2" s="12"/>
      <c r="AY2" s="5"/>
    </row>
    <row r="3" spans="1:51" x14ac:dyDescent="0.35">
      <c r="E3" s="9"/>
      <c r="R3" s="14"/>
      <c r="S3" s="13"/>
      <c r="T3" s="5"/>
      <c r="U3" s="23" t="s">
        <v>25</v>
      </c>
      <c r="V3" s="23">
        <f>COUNTIF(M2:M1048576,"=WIN")</f>
        <v>0</v>
      </c>
      <c r="W3" s="4"/>
      <c r="X3" s="4"/>
      <c r="Y3" s="4"/>
      <c r="Z3" s="4"/>
      <c r="AA3" s="5"/>
      <c r="AB3" s="24" t="s">
        <v>39</v>
      </c>
      <c r="AC3" s="1" t="e">
        <f>AVERAGE(F2:F1048576)</f>
        <v>#DIV/0!</v>
      </c>
      <c r="AD3" s="4"/>
      <c r="AE3" s="4"/>
      <c r="AF3" s="4"/>
      <c r="AG3" s="5"/>
      <c r="AH3" s="5"/>
      <c r="AI3" s="5"/>
      <c r="AJ3" s="1" t="s">
        <v>63</v>
      </c>
      <c r="AK3" s="36" t="s">
        <v>50</v>
      </c>
      <c r="AL3" s="36"/>
      <c r="AM3" s="36"/>
      <c r="AN3" s="36"/>
      <c r="AO3" s="36"/>
      <c r="AP3" s="12"/>
      <c r="AQ3" s="12"/>
      <c r="AR3" s="12"/>
      <c r="AS3" s="12"/>
      <c r="AT3" s="12"/>
      <c r="AU3" s="12"/>
      <c r="AV3" s="12"/>
      <c r="AW3" s="12"/>
      <c r="AX3" s="12"/>
      <c r="AY3" s="5"/>
    </row>
    <row r="4" spans="1:51" x14ac:dyDescent="0.35">
      <c r="C4" s="18"/>
      <c r="T4" s="5"/>
      <c r="U4" s="24" t="s">
        <v>26</v>
      </c>
      <c r="V4" s="24">
        <f>COUNTIF(M2:M1048576,"=LOSS")</f>
        <v>0</v>
      </c>
      <c r="W4" s="4"/>
      <c r="X4" s="4"/>
      <c r="Y4" s="4"/>
      <c r="Z4" s="4"/>
      <c r="AA4" s="5"/>
      <c r="AB4" s="25" t="s">
        <v>52</v>
      </c>
      <c r="AC4" s="1" t="e">
        <f>AVERAGE(H2:H1048576)</f>
        <v>#DIV/0!</v>
      </c>
      <c r="AD4" s="4"/>
      <c r="AE4" s="4"/>
      <c r="AF4" s="4"/>
      <c r="AG4" s="5"/>
      <c r="AH4" s="5"/>
      <c r="AI4" s="5"/>
      <c r="AK4" s="1" t="s">
        <v>24</v>
      </c>
      <c r="AL4" s="23" t="s">
        <v>58</v>
      </c>
      <c r="AM4" s="24" t="s">
        <v>26</v>
      </c>
      <c r="AN4" s="25" t="s">
        <v>64</v>
      </c>
      <c r="AO4" s="1" t="s">
        <v>51</v>
      </c>
      <c r="AP4" s="12"/>
      <c r="AQ4" s="12"/>
      <c r="AR4" s="12"/>
      <c r="AS4" s="12"/>
      <c r="AT4" s="12"/>
      <c r="AU4" s="12"/>
      <c r="AV4" s="12"/>
      <c r="AW4" s="12"/>
      <c r="AX4" s="12"/>
      <c r="AY4" s="5"/>
    </row>
    <row r="5" spans="1:51" x14ac:dyDescent="0.35">
      <c r="C5" s="17"/>
      <c r="E5" s="10"/>
      <c r="T5" s="5"/>
      <c r="U5" s="25" t="s">
        <v>16</v>
      </c>
      <c r="V5" s="25">
        <f>COUNTIF(M2:M1048576,"=BREAK-EVEN")</f>
        <v>0</v>
      </c>
      <c r="W5" s="1">
        <f>SUM(V3:V5)</f>
        <v>0</v>
      </c>
      <c r="X5" s="4"/>
      <c r="Y5" s="4"/>
      <c r="Z5" s="4"/>
      <c r="AA5" s="5"/>
      <c r="AB5" s="23" t="s">
        <v>53</v>
      </c>
      <c r="AC5" s="1" t="e">
        <f>AVERAGE(G2:G1048576)</f>
        <v>#DIV/0!</v>
      </c>
      <c r="AD5" s="4"/>
      <c r="AE5" s="4"/>
      <c r="AF5" s="4"/>
      <c r="AG5" s="5"/>
      <c r="AH5" s="5"/>
      <c r="AI5" s="5"/>
      <c r="AJ5" s="21" t="s">
        <v>57</v>
      </c>
      <c r="AK5" s="21">
        <f>COUNTIFS(E2:E1048576,"=LONDON",J2:J1048576,"=BREAK &amp; RETEST")</f>
        <v>0</v>
      </c>
      <c r="AL5" s="23">
        <f>COUNTIFS(E2:E1048576,"=LONDON", J2:J1048576,"=BREAK &amp; RETEST",M2:M1048576,"=WIN")</f>
        <v>0</v>
      </c>
      <c r="AM5" s="24">
        <f>COUNTIFS(E2:E1048576,"=LONDON", J2:J1048576,"=BREAK &amp; RETEST",M2:M1048576,"=LOSS")</f>
        <v>0</v>
      </c>
      <c r="AN5" s="25">
        <f>COUNTIFS(E2:E1048576,"=LONDON", J2:J1048576,"=BREAK &amp; RETEST",M2:M1048576,"=BREAK-EVEN")</f>
        <v>0</v>
      </c>
      <c r="AO5" s="1" t="e">
        <f>AL5/AK5*100</f>
        <v>#DIV/0!</v>
      </c>
      <c r="AP5" s="12"/>
      <c r="AQ5" s="12"/>
      <c r="AR5" s="12"/>
      <c r="AS5" s="12"/>
      <c r="AT5" s="12"/>
      <c r="AU5" s="12"/>
      <c r="AV5" s="12"/>
      <c r="AW5" s="12"/>
      <c r="AX5" s="12"/>
      <c r="AY5" s="5"/>
    </row>
    <row r="6" spans="1:51" x14ac:dyDescent="0.35">
      <c r="A6" s="8"/>
      <c r="E6" s="10"/>
      <c r="T6" s="5"/>
      <c r="U6" s="4"/>
      <c r="V6" s="4"/>
      <c r="W6" s="4"/>
      <c r="X6" s="4"/>
      <c r="Y6" s="4"/>
      <c r="Z6" s="4"/>
      <c r="AA6" s="5"/>
      <c r="AB6" s="4"/>
      <c r="AC6" s="4"/>
      <c r="AD6" s="4"/>
      <c r="AE6" s="4"/>
      <c r="AF6" s="4"/>
      <c r="AG6" s="5"/>
      <c r="AH6" s="5"/>
      <c r="AI6" s="5"/>
      <c r="AJ6" s="22" t="s">
        <v>56</v>
      </c>
      <c r="AK6" s="22">
        <f>COUNTIFS(E2:E1048576,"=NEW YORK",J2:J1048576,"=BREAK &amp; RETEST")</f>
        <v>0</v>
      </c>
      <c r="AL6" s="23">
        <f>COUNTIFS(E2:E1048576,"=NEW YORK", J2:J1048576,"=BREAK &amp; RETEST",M2:M1048576,"=WIN")</f>
        <v>0</v>
      </c>
      <c r="AM6" s="24">
        <f>COUNTIFS(E2:E1048576,"=NEW YORK", J2:J1048576,"=BREAK &amp; RETEST",M2:M1048576,"=LOSS")</f>
        <v>0</v>
      </c>
      <c r="AN6" s="25">
        <f>COUNTIFS(E2:E1048576,"=NEW YORK", J2:J1048576,"=BREAK &amp; RETEST",M2:M1048576,"=BREAK-EVEN")</f>
        <v>0</v>
      </c>
      <c r="AO6" s="1" t="e">
        <f>AL6/AK6*100</f>
        <v>#DIV/0!</v>
      </c>
      <c r="AP6" s="12"/>
      <c r="AQ6" s="12"/>
      <c r="AR6" s="12"/>
      <c r="AS6" s="12"/>
      <c r="AT6" s="12"/>
      <c r="AU6" s="12"/>
      <c r="AV6" s="12"/>
      <c r="AW6" s="12"/>
      <c r="AX6" s="12"/>
      <c r="AY6" s="5"/>
    </row>
    <row r="7" spans="1:51" x14ac:dyDescent="0.35">
      <c r="T7" s="5"/>
      <c r="U7" s="1" t="s">
        <v>51</v>
      </c>
      <c r="V7" s="1" t="e">
        <f>V3/W5*100</f>
        <v>#DIV/0!</v>
      </c>
      <c r="W7" s="4"/>
      <c r="X7" s="4"/>
      <c r="Y7" s="4"/>
      <c r="Z7" s="4"/>
      <c r="AA7" s="5"/>
      <c r="AB7" s="1" t="s">
        <v>35</v>
      </c>
      <c r="AC7" s="1" t="s">
        <v>24</v>
      </c>
      <c r="AD7" s="23" t="s">
        <v>25</v>
      </c>
      <c r="AE7" s="24" t="s">
        <v>26</v>
      </c>
      <c r="AF7" s="25" t="s">
        <v>16</v>
      </c>
      <c r="AG7" s="5"/>
      <c r="AH7" s="5"/>
      <c r="AI7" s="5"/>
      <c r="AJ7" s="1" t="s">
        <v>69</v>
      </c>
      <c r="AK7" s="1">
        <f>COUNTIFS(E2:E1048576,"=ASIAN",J2:J1048576,"=BREAK &amp; RETEST")</f>
        <v>0</v>
      </c>
      <c r="AL7" s="23">
        <f>COUNTIFS(E2:E1048576,"=ASIAN", J2:J1048576,"=BREAK &amp; RETEST",M2:M1048576,"=WIN")</f>
        <v>0</v>
      </c>
      <c r="AM7" s="24">
        <f>COUNTIFS(E2:E1048576,"=ASIAN", J2:J1048576,"=BREAK &amp; RETEST",M2:M1048576,"=LOSS")</f>
        <v>0</v>
      </c>
      <c r="AN7" s="25">
        <f>COUNTIFS(E2:E1048576,"=ASIAN", J2:J1048576,"=BREAK &amp; RETEST",M2:M1048576,"=BREAK-EVEN")</f>
        <v>0</v>
      </c>
      <c r="AO7" s="1" t="e">
        <f>AL7/AK7*100</f>
        <v>#DIV/0!</v>
      </c>
      <c r="AP7" s="12"/>
      <c r="AQ7" s="12"/>
      <c r="AR7" s="12"/>
      <c r="AS7" s="12"/>
      <c r="AT7" s="12"/>
      <c r="AU7" s="12"/>
      <c r="AV7" s="12"/>
      <c r="AW7" s="12"/>
      <c r="AX7" s="12"/>
      <c r="AY7" s="5"/>
    </row>
    <row r="8" spans="1:51" x14ac:dyDescent="0.35">
      <c r="T8" s="5"/>
      <c r="U8" s="4"/>
      <c r="V8" s="4"/>
      <c r="W8" s="4"/>
      <c r="X8" s="4"/>
      <c r="Y8" s="4"/>
      <c r="Z8" s="4"/>
      <c r="AA8" s="5"/>
      <c r="AB8" s="1" t="s">
        <v>50</v>
      </c>
      <c r="AC8" s="1">
        <f>COUNTIF(J2:J1048576,"=BREAK &amp; RETEST")</f>
        <v>0</v>
      </c>
      <c r="AD8" s="23">
        <f>COUNTIFS(J2:J1048576,"=BREAK &amp; RETEST",M2:M1048576,"=WIN")</f>
        <v>0</v>
      </c>
      <c r="AE8" s="24">
        <f>COUNTIFS(J2:J1048576,"=BREAK &amp; RETEST",M2:M1048576,"=LOSS")</f>
        <v>0</v>
      </c>
      <c r="AF8" s="25">
        <f>COUNTIFS(J2:J1048576,"=BREAK &amp; RETEST",M2:M1048576,"=BREAK-EVEN")</f>
        <v>0</v>
      </c>
      <c r="AG8" s="5"/>
      <c r="AH8" s="5"/>
      <c r="AI8" s="5"/>
      <c r="AP8" s="12"/>
      <c r="AQ8" s="12"/>
      <c r="AR8" s="12"/>
      <c r="AS8" s="12"/>
      <c r="AT8" s="12"/>
      <c r="AU8" s="12"/>
      <c r="AV8" s="12"/>
      <c r="AW8" s="12"/>
      <c r="AX8" s="12"/>
      <c r="AY8" s="5"/>
    </row>
    <row r="9" spans="1:51" x14ac:dyDescent="0.35">
      <c r="A9" s="8"/>
      <c r="T9" s="5"/>
      <c r="U9" s="1" t="s">
        <v>1</v>
      </c>
      <c r="V9" s="1" t="s">
        <v>24</v>
      </c>
      <c r="W9" s="23" t="s">
        <v>25</v>
      </c>
      <c r="X9" s="24" t="s">
        <v>26</v>
      </c>
      <c r="Y9" s="25" t="s">
        <v>16</v>
      </c>
      <c r="Z9" s="4"/>
      <c r="AA9" s="5"/>
      <c r="AB9" s="1" t="s">
        <v>70</v>
      </c>
      <c r="AC9" s="1">
        <f>COUNTIF(J2:J1048576,"=LIQUIDITY GRAB (PREV H/L or TRENDLINE)")</f>
        <v>0</v>
      </c>
      <c r="AD9" s="23">
        <f>COUNTIFS(J2:J1048576,"=LIQUIDITY GRAB (PREV H/L or TRENDLINE)",M2:M1048576,"=WIN")</f>
        <v>0</v>
      </c>
      <c r="AE9" s="24">
        <f>COUNTIFS(J2:J1048576,"=LIQUIDITY GRAB (PREV H/L or TRENDLINE)",M2:M1048576,"=LOSS")</f>
        <v>0</v>
      </c>
      <c r="AF9" s="25">
        <f>COUNTIFS(J2:J1048576,"=LIQUIDITY GRAB (PREV H/L or TRENDLINE)",M2:M1048576,"=BREAK-EVEN")</f>
        <v>0</v>
      </c>
      <c r="AG9" s="5"/>
      <c r="AH9" s="5"/>
      <c r="AI9" s="5"/>
      <c r="AJ9" s="1" t="s">
        <v>63</v>
      </c>
      <c r="AK9" s="36" t="s">
        <v>70</v>
      </c>
      <c r="AL9" s="36"/>
      <c r="AM9" s="36"/>
      <c r="AN9" s="36"/>
      <c r="AO9" s="36"/>
      <c r="AP9" s="12"/>
      <c r="AQ9" s="12"/>
      <c r="AR9" s="12"/>
      <c r="AS9" s="12"/>
      <c r="AT9" s="12"/>
      <c r="AU9" s="12"/>
      <c r="AV9" s="12"/>
      <c r="AW9" s="12"/>
      <c r="AX9" s="12"/>
      <c r="AY9" s="5"/>
    </row>
    <row r="10" spans="1:51" x14ac:dyDescent="0.35">
      <c r="A10" s="8"/>
      <c r="T10" s="5"/>
      <c r="U10" s="19" t="s">
        <v>23</v>
      </c>
      <c r="V10" s="19">
        <f>COUNTIF(C2:C1048576,"=LONG")</f>
        <v>0</v>
      </c>
      <c r="W10" s="23">
        <f>COUNTIFS(C2:C1048576,"=LONG",M2:M1048576,"=WIN")</f>
        <v>0</v>
      </c>
      <c r="X10" s="24">
        <f>COUNTIFS(C2:C1048576,"=LONG",M2:M1048576,"=LOSS")</f>
        <v>0</v>
      </c>
      <c r="Y10" s="25">
        <f>COUNTIFS(C2:C1048576,"=LONG",M2:M1048576,"=BREAK-EVEN")</f>
        <v>0</v>
      </c>
      <c r="Z10" s="4"/>
      <c r="AA10" s="5"/>
      <c r="AB10" s="4"/>
      <c r="AC10" s="4"/>
      <c r="AD10" s="4"/>
      <c r="AE10" s="4"/>
      <c r="AF10" s="4"/>
      <c r="AG10" s="5"/>
      <c r="AH10" s="5"/>
      <c r="AI10" s="5"/>
      <c r="AJ10" s="21" t="s">
        <v>57</v>
      </c>
      <c r="AK10" s="21">
        <f>COUNTIFS(E2:E1048576,"=LONDON",J2:J1048576,"=LIQUIDITY GRAB (PREV H/L or TRENDLINE)")</f>
        <v>0</v>
      </c>
      <c r="AL10" s="23">
        <f>COUNTIFS(E2:E1048576,"=LONDON", J2:J1048576,"=LIQUIDITY GRAB (PREV H/L or TRENDLINE)",M2:M1048576,"=WIN")</f>
        <v>0</v>
      </c>
      <c r="AM10" s="24">
        <f>COUNTIFS(E2:E1048576,"=LONDON", J2:J1048576,"=LIQUIDITY GRAB (PREV H/L or TRENDLINE)",M2:M1048576,"=LOSS")</f>
        <v>0</v>
      </c>
      <c r="AN10" s="25">
        <f>COUNTIFS(E2:E1048576,"=LONDON", J2:J1048576,"=LIQUIDITY GRAB (PREV H/L or TRENDLINE)",M2:M1048576,"=BREAK-EVEN")</f>
        <v>0</v>
      </c>
      <c r="AO10" s="1" t="e">
        <f>AL10/AK10*100</f>
        <v>#DIV/0!</v>
      </c>
      <c r="AP10" s="12"/>
      <c r="AQ10" s="12"/>
      <c r="AR10" s="12"/>
      <c r="AS10" s="12"/>
      <c r="AT10" s="12"/>
      <c r="AU10" s="12"/>
      <c r="AV10" s="12"/>
      <c r="AW10" s="12"/>
      <c r="AX10" s="12"/>
      <c r="AY10" s="5"/>
    </row>
    <row r="11" spans="1:51" x14ac:dyDescent="0.35">
      <c r="T11" s="5"/>
      <c r="U11" s="20" t="s">
        <v>28</v>
      </c>
      <c r="V11" s="20">
        <f>COUNTIF(C2:C1048576,"=SHORT")</f>
        <v>0</v>
      </c>
      <c r="W11" s="23">
        <f>COUNTIFS(C2:C1048576,"=SHORT",M2:M1048576,"=WIN")</f>
        <v>0</v>
      </c>
      <c r="X11" s="24">
        <f>COUNTIFS(C2:C1048576,"=SHORT",M2:M1048576,"=LOSS")</f>
        <v>0</v>
      </c>
      <c r="Y11" s="25">
        <f>COUNTIFS(C2:C1048576,"=SHORT",M2:M1048576,"=BREAK-EVEN")</f>
        <v>0</v>
      </c>
      <c r="Z11" s="1">
        <f>SUM(V10:V11)</f>
        <v>0</v>
      </c>
      <c r="AA11" s="5"/>
      <c r="AB11" s="1" t="s">
        <v>6</v>
      </c>
      <c r="AC11" s="1" t="s">
        <v>24</v>
      </c>
      <c r="AD11" s="23" t="s">
        <v>25</v>
      </c>
      <c r="AE11" s="24" t="s">
        <v>26</v>
      </c>
      <c r="AF11" s="25" t="s">
        <v>16</v>
      </c>
      <c r="AG11" s="5"/>
      <c r="AH11" s="5"/>
      <c r="AI11" s="5"/>
      <c r="AJ11" s="22" t="s">
        <v>56</v>
      </c>
      <c r="AK11" s="22">
        <f>COUNTIFS(E2:E1048576,"=NEW YORK",J2:J1048576,"=LIQUIDITY GRAB (PREV H/L or TRENDLINE)")</f>
        <v>0</v>
      </c>
      <c r="AL11" s="23">
        <f>COUNTIFS(E2:E1048576,"=NEW YORK", J2:J1048576,"=LIQUIDITY GRAB (PREV H/L or TRENDLINE)",M2:M1048576,"=WIN")</f>
        <v>0</v>
      </c>
      <c r="AM11" s="24">
        <f>COUNTIFS(E2:E1048576,"=NEW YORK", J2:J1048576,"=LIQUIDITY GRAB (PREV H/L or TRENDLINE)",M2:M1048576,"=LOSS")</f>
        <v>0</v>
      </c>
      <c r="AN11" s="25">
        <f>COUNTIFS(E2:E1048576,"=NEW YORK", J2:J1048576,"=LIQUIDITY GRAB (PREV H/L or TRENDLINE)",M2:M1048576,"=BREAK-EVEN")</f>
        <v>0</v>
      </c>
      <c r="AO11" s="1" t="e">
        <f>AL11/AK11*100</f>
        <v>#DIV/0!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5"/>
    </row>
    <row r="12" spans="1:51" x14ac:dyDescent="0.35">
      <c r="T12" s="5"/>
      <c r="U12" s="4"/>
      <c r="V12" s="4"/>
      <c r="W12" s="4"/>
      <c r="X12" s="4"/>
      <c r="Y12" s="4"/>
      <c r="Z12" s="4"/>
      <c r="AA12" s="5"/>
      <c r="AB12" s="1" t="s">
        <v>19</v>
      </c>
      <c r="AC12" s="1">
        <f>COUNTIF(K2:K1048576,"=ORDER BLOCK")</f>
        <v>0</v>
      </c>
      <c r="AD12" s="23">
        <f>COUNTIFS(K2:K1048576,"=ORDER BLOCK",M2:M1048576,"=WIN")</f>
        <v>0</v>
      </c>
      <c r="AE12" s="24">
        <f>COUNTIFS(K2:K1048576,"=ORDER BLOCK",M2:M1048576,"=LOSS")</f>
        <v>0</v>
      </c>
      <c r="AF12" s="25">
        <f>COUNTIFS(K2:K1048576,"=ORDER BLOCK",M2:M1048576,"=BREAK-EVEN")</f>
        <v>0</v>
      </c>
      <c r="AG12" s="5"/>
      <c r="AH12" s="5"/>
      <c r="AI12" s="5"/>
      <c r="AJ12" s="1" t="s">
        <v>69</v>
      </c>
      <c r="AK12" s="1">
        <f>COUNTIFS(E2:E1048576,"=ASIAN",J2:J1048576,"=LIQUIDITY GRAB (PREV H/L or TRENDLINE)")</f>
        <v>0</v>
      </c>
      <c r="AL12" s="23">
        <f>COUNTIFS(E2:E1048576,"=ASIAN", J2:J1048576,"=LIQUIDITY GRAB (PREV H/L or TRENDLINE)",M2:M1048576,"=WIN")</f>
        <v>0</v>
      </c>
      <c r="AM12" s="24">
        <f>COUNTIFS(E2:E1048576,"=ASIAN", J2:J1048576,"=LIQUIDITY GRAB (PREV H/L or TRENDLINE)",M2:M1048576,"=LOSS")</f>
        <v>0</v>
      </c>
      <c r="AN12" s="25">
        <f>COUNTIFS(E2:E1048576,"=ASIAN", J2:J1048576,"=LIQUIDITY GRAB (PREV H/L or TRENDLINE)",M2:M1048576,"=BREAK-EVEN")</f>
        <v>0</v>
      </c>
      <c r="AO12" s="1" t="e">
        <f>AL12/AK12*100</f>
        <v>#DIV/0!</v>
      </c>
      <c r="AP12" s="12"/>
      <c r="AQ12" s="12"/>
      <c r="AR12" s="12"/>
      <c r="AS12" s="12"/>
      <c r="AT12" s="12"/>
      <c r="AU12" s="12"/>
      <c r="AV12" s="12"/>
      <c r="AW12" s="12"/>
      <c r="AX12" s="12"/>
      <c r="AY12" s="5"/>
    </row>
    <row r="13" spans="1:51" x14ac:dyDescent="0.35">
      <c r="T13" s="5"/>
      <c r="U13" s="1" t="s">
        <v>29</v>
      </c>
      <c r="V13" s="1" t="s">
        <v>24</v>
      </c>
      <c r="W13" s="23" t="s">
        <v>25</v>
      </c>
      <c r="X13" s="24" t="s">
        <v>26</v>
      </c>
      <c r="Y13" s="25" t="s">
        <v>16</v>
      </c>
      <c r="Z13" s="4"/>
      <c r="AA13" s="5"/>
      <c r="AB13" s="1" t="s">
        <v>48</v>
      </c>
      <c r="AC13" s="1">
        <f>COUNTIF(K2:K1048576,"=BREAKER BLOCK")</f>
        <v>0</v>
      </c>
      <c r="AD13" s="23">
        <f>COUNTIFS(K2:K1048576,"=BREAKER BLOCK",M2:M1048576,"=WIN")</f>
        <v>0</v>
      </c>
      <c r="AE13" s="24">
        <f>COUNTIFS(K2:K1048576,"=BREAKER BLOCK",M2:M1048576,"=LOSS")</f>
        <v>0</v>
      </c>
      <c r="AF13" s="25">
        <f>COUNTIFS(K2:K1048576,"=BREAKER BLOCK",M2:M1048576,"=BREAK-EVEN")</f>
        <v>0</v>
      </c>
      <c r="AG13" s="5"/>
      <c r="AH13" s="5"/>
      <c r="AI13" s="5"/>
      <c r="AP13" s="12"/>
      <c r="AQ13" s="12"/>
      <c r="AR13" s="12"/>
      <c r="AS13" s="12"/>
      <c r="AT13" s="12"/>
      <c r="AU13" s="12"/>
      <c r="AV13" s="12"/>
      <c r="AW13" s="12"/>
      <c r="AX13" s="12"/>
      <c r="AY13" s="5"/>
    </row>
    <row r="14" spans="1:51" x14ac:dyDescent="0.35">
      <c r="T14" s="5"/>
      <c r="U14" s="1" t="s">
        <v>21</v>
      </c>
      <c r="V14" s="1">
        <f>COUNTIF(D2:D1048576,"=MONDAY")</f>
        <v>0</v>
      </c>
      <c r="W14" s="23">
        <f>COUNTIFS(D2:D1048576,"=MONDAY",M2:M1048576,"=WIN")</f>
        <v>0</v>
      </c>
      <c r="X14" s="24">
        <f>COUNTIFS(D2:D1048576,"=MONDAY",M2:M1048576,"=LOSS")</f>
        <v>0</v>
      </c>
      <c r="Y14" s="25">
        <f>COUNTIFS(D2:D1048576,"=MONDAY",M2:M1048576,"=BREAK-EVEN")</f>
        <v>0</v>
      </c>
      <c r="Z14" s="4"/>
      <c r="AA14" s="5"/>
      <c r="AB14" s="1" t="s">
        <v>49</v>
      </c>
      <c r="AC14" s="1">
        <f>COUNTIF(K2:K1048576,"=FVG/IMB")</f>
        <v>0</v>
      </c>
      <c r="AD14" s="23">
        <f>COUNTIFS(K2:K1048576,"=FVG/IMB",M2:M1048576,"=WIN")</f>
        <v>0</v>
      </c>
      <c r="AE14" s="24">
        <f>COUNTIFS(K2:K1048576,"=FVG/IMB",M2:M1048576,"=LOSS")</f>
        <v>0</v>
      </c>
      <c r="AF14" s="25">
        <f>COUNTIFS(K2:K1048576,"=FVG/IMB",M2:M1048576,"=BREAK-EVEN")</f>
        <v>0</v>
      </c>
      <c r="AG14" s="5"/>
      <c r="AH14" s="5"/>
      <c r="AI14" s="5"/>
      <c r="AP14" s="12"/>
      <c r="AQ14" s="12"/>
      <c r="AR14" s="12"/>
      <c r="AS14" s="12"/>
      <c r="AT14" s="12"/>
      <c r="AU14" s="12"/>
      <c r="AV14" s="12"/>
      <c r="AW14" s="12"/>
      <c r="AX14" s="12"/>
      <c r="AY14" s="5"/>
    </row>
    <row r="15" spans="1:51" x14ac:dyDescent="0.35">
      <c r="T15" s="5"/>
      <c r="U15" s="1" t="s">
        <v>30</v>
      </c>
      <c r="V15" s="1">
        <f>COUNTIF(D2:D1048576,"=TUESDAY")</f>
        <v>0</v>
      </c>
      <c r="W15" s="23">
        <f>COUNTIFS(D2:D1048576,"=TUESDAY",M2:M1048576,"=WIN")</f>
        <v>0</v>
      </c>
      <c r="X15" s="24">
        <f>COUNTIFS(D2:D1048576,"=TUESDAY",M2:M1048576,"=LOSS")</f>
        <v>0</v>
      </c>
      <c r="Y15" s="25">
        <f>COUNTIFS(D2:D1048576,"=TUESDAY",M2:M1048576,"=BREAK-EVEN")</f>
        <v>0</v>
      </c>
      <c r="Z15" s="4"/>
      <c r="AA15" s="5"/>
      <c r="AB15" s="4"/>
      <c r="AC15" s="4"/>
      <c r="AD15" s="4"/>
      <c r="AE15" s="4"/>
      <c r="AF15" s="4"/>
      <c r="AG15" s="5"/>
      <c r="AH15" s="5"/>
      <c r="AI15" s="5"/>
      <c r="AJ15" s="36" t="s">
        <v>65</v>
      </c>
      <c r="AK15" s="36"/>
      <c r="AL15" s="36"/>
      <c r="AM15" s="36"/>
      <c r="AN15" s="36"/>
      <c r="AO15" s="36"/>
      <c r="AP15" s="12"/>
      <c r="AQ15" s="12"/>
      <c r="AR15" s="12"/>
      <c r="AS15" s="12"/>
      <c r="AT15" s="12"/>
      <c r="AU15" s="12"/>
      <c r="AV15" s="12"/>
      <c r="AW15" s="12"/>
      <c r="AX15" s="12"/>
      <c r="AY15" s="5"/>
    </row>
    <row r="16" spans="1:51" x14ac:dyDescent="0.35">
      <c r="T16" s="5"/>
      <c r="U16" s="1" t="s">
        <v>22</v>
      </c>
      <c r="V16" s="1">
        <f>COUNTIF(D2:D1048576,"WEDNESDAY")</f>
        <v>0</v>
      </c>
      <c r="W16" s="23">
        <f>COUNTIFS(D2:D1048576,"=WEDNESDAY",M2:M1048576,"=WIN")</f>
        <v>0</v>
      </c>
      <c r="X16" s="24">
        <f>COUNTIFS(D2:D1048576,"=WEDNESDAY",M2:M1048576,"=LOSS")</f>
        <v>0</v>
      </c>
      <c r="Y16" s="25">
        <f>COUNTIFS(D2:D1048576,"=WEDNESDAY",M2:M1048576,"=BREAK-EVEN")</f>
        <v>0</v>
      </c>
      <c r="Z16" s="4"/>
      <c r="AA16" s="5"/>
      <c r="AB16" s="4"/>
      <c r="AC16" s="4"/>
      <c r="AD16" s="4"/>
      <c r="AE16" s="4"/>
      <c r="AF16" s="4"/>
      <c r="AG16" s="5"/>
      <c r="AH16" s="5"/>
      <c r="AI16" s="5"/>
      <c r="AJ16" s="1" t="s">
        <v>67</v>
      </c>
      <c r="AK16" s="36" t="s">
        <v>66</v>
      </c>
      <c r="AL16" s="36"/>
      <c r="AM16" s="36"/>
      <c r="AN16" s="36"/>
      <c r="AO16" s="36"/>
      <c r="AP16" s="12"/>
      <c r="AQ16" s="12"/>
      <c r="AR16" s="12"/>
      <c r="AS16" s="12"/>
      <c r="AT16" s="12"/>
      <c r="AU16" s="12"/>
      <c r="AV16" s="12"/>
      <c r="AW16" s="12"/>
      <c r="AX16" s="12"/>
      <c r="AY16" s="5"/>
    </row>
    <row r="17" spans="20:51" x14ac:dyDescent="0.35">
      <c r="T17" s="5"/>
      <c r="U17" s="1" t="s">
        <v>31</v>
      </c>
      <c r="V17" s="1">
        <f>COUNTIF(D2:D1048576,"=THURSDAY")</f>
        <v>0</v>
      </c>
      <c r="W17" s="23">
        <f>COUNTIFS(D2:D1048576,"=THURSDAY",M2:M1048576,"=WIN")</f>
        <v>0</v>
      </c>
      <c r="X17" s="24">
        <f>COUNTIFS(D2:D1048576,"=THURSDAY",M2:M1048576,"=LOSS")</f>
        <v>0</v>
      </c>
      <c r="Y17" s="25">
        <f>COUNTIFS(D2:D1048576,"=THURSDAY",M2:M1048576,"=BREAK-EVEN")</f>
        <v>0</v>
      </c>
      <c r="Z17" s="4"/>
      <c r="AA17" s="5"/>
      <c r="AB17" s="4"/>
      <c r="AC17" s="4"/>
      <c r="AD17" s="4"/>
      <c r="AE17" s="4"/>
      <c r="AF17" s="4"/>
      <c r="AG17" s="5"/>
      <c r="AH17" s="5"/>
      <c r="AI17" s="5"/>
      <c r="AK17" s="1" t="s">
        <v>24</v>
      </c>
      <c r="AL17" s="1" t="s">
        <v>58</v>
      </c>
      <c r="AM17" s="1" t="s">
        <v>26</v>
      </c>
      <c r="AN17" s="1" t="s">
        <v>64</v>
      </c>
      <c r="AO17" s="1" t="s">
        <v>51</v>
      </c>
      <c r="AP17" s="12"/>
      <c r="AQ17" s="12"/>
      <c r="AR17" s="12"/>
      <c r="AS17" s="12"/>
      <c r="AT17" s="12"/>
      <c r="AU17" s="12"/>
      <c r="AV17" s="12"/>
      <c r="AW17" s="12"/>
      <c r="AX17" s="12"/>
      <c r="AY17" s="5"/>
    </row>
    <row r="18" spans="20:51" x14ac:dyDescent="0.35">
      <c r="T18" s="5"/>
      <c r="U18" s="1" t="s">
        <v>32</v>
      </c>
      <c r="V18" s="1">
        <f>COUNTIF(D2:D1048576,"=FRIDAY")</f>
        <v>0</v>
      </c>
      <c r="W18" s="23">
        <f>COUNTIFS(D2:D1048576,"=FRIDAY",M2:M1048576,"=WIN")</f>
        <v>0</v>
      </c>
      <c r="X18" s="24">
        <f>COUNTIFS(D2:D1048576,"=FRIDAY",M2:M1048576,"=LOSS")</f>
        <v>0</v>
      </c>
      <c r="Y18" s="25">
        <f>COUNTIFS(D2:D1048576,"=FRIDAY",M2:M1048576,"=BREAK-EVEN")</f>
        <v>0</v>
      </c>
      <c r="Z18" s="1">
        <f>SUM(V14:V18)</f>
        <v>0</v>
      </c>
      <c r="AA18" s="5"/>
      <c r="AB18" s="1" t="s">
        <v>36</v>
      </c>
      <c r="AC18" s="1" t="s">
        <v>24</v>
      </c>
      <c r="AD18" s="4"/>
      <c r="AE18" s="4"/>
      <c r="AF18" s="4"/>
      <c r="AG18" s="5"/>
      <c r="AH18" s="5"/>
      <c r="AI18" s="5"/>
      <c r="AJ18" s="21" t="s">
        <v>57</v>
      </c>
      <c r="AK18" s="21">
        <f>COUNTIFS(E:E,"=LONDON",K:K,"=ORDER BLOCK")</f>
        <v>0</v>
      </c>
      <c r="AL18" s="23">
        <f>COUNTIFS(E:E,"=LONDON",K:K,"=ORDER BLOCK", M:M,"=WIN")</f>
        <v>0</v>
      </c>
      <c r="AM18" s="24">
        <f>COUNTIFS(E:E,"=LONDON",K:K,"=ORDER BLOCK", M:M,"=LOSS")</f>
        <v>0</v>
      </c>
      <c r="AN18" s="25">
        <f>COUNTIFS(E:E,"=LONDON",K:K,"=ORDER BLOCK", M:M,"=BREAK-EVEN")</f>
        <v>0</v>
      </c>
      <c r="AO18" s="1" t="e">
        <f>AL18/AK18*100</f>
        <v>#DIV/0!</v>
      </c>
      <c r="AP18" s="12"/>
      <c r="AQ18" s="12"/>
      <c r="AR18" s="12"/>
      <c r="AS18" s="12"/>
      <c r="AT18" s="12"/>
      <c r="AU18" s="12"/>
      <c r="AV18" s="12"/>
      <c r="AW18" s="12"/>
      <c r="AX18" s="12"/>
      <c r="AY18" s="5"/>
    </row>
    <row r="19" spans="20:51" x14ac:dyDescent="0.35">
      <c r="T19" s="5"/>
      <c r="U19" s="4"/>
      <c r="V19" s="4"/>
      <c r="W19" s="4"/>
      <c r="X19" s="4"/>
      <c r="Y19" s="4"/>
      <c r="Z19" s="4"/>
      <c r="AA19" s="5"/>
      <c r="AB19" s="1" t="s">
        <v>18</v>
      </c>
      <c r="AC19" s="1">
        <f>COUNTIF(L2:L1048576,"=1 MIN")</f>
        <v>0</v>
      </c>
      <c r="AD19" s="4"/>
      <c r="AE19" s="4"/>
      <c r="AF19" s="4"/>
      <c r="AG19" s="5"/>
      <c r="AH19" s="5"/>
      <c r="AI19" s="5"/>
      <c r="AJ19" s="22" t="s">
        <v>56</v>
      </c>
      <c r="AK19" s="22">
        <f>COUNTIFS(E:E,"=NEW YORK",K:K,"=ORDER BLOCK")</f>
        <v>0</v>
      </c>
      <c r="AL19" s="23">
        <f>COUNTIFS(E:E,"=NEW YORK",K:K,"=ORDER BLOCK", M:M,"=WIN")</f>
        <v>0</v>
      </c>
      <c r="AM19" s="24">
        <f>COUNTIFS(E:E,"=NEW YORK",K:K,"=ORDER BLOCK", M:M,"=LOSS")</f>
        <v>0</v>
      </c>
      <c r="AN19" s="25">
        <f>COUNTIFS(E:E,"=NEW YORK",K:K,"=ORDER BLOCK", M:M,"=BREAK-EVEN")</f>
        <v>0</v>
      </c>
      <c r="AO19" s="1" t="e">
        <f>AL19/AK19*100</f>
        <v>#DIV/0!</v>
      </c>
      <c r="AP19" s="12"/>
      <c r="AQ19" s="12"/>
      <c r="AR19" s="12"/>
      <c r="AS19" s="12"/>
      <c r="AT19" s="12"/>
      <c r="AU19" s="12"/>
      <c r="AV19" s="12"/>
      <c r="AW19" s="12"/>
      <c r="AX19" s="12"/>
      <c r="AY19" s="5"/>
    </row>
    <row r="20" spans="20:51" x14ac:dyDescent="0.35">
      <c r="T20" s="5"/>
      <c r="U20" s="4"/>
      <c r="V20" s="4"/>
      <c r="W20" s="4"/>
      <c r="X20" s="4"/>
      <c r="Y20" s="4"/>
      <c r="Z20" s="4"/>
      <c r="AA20" s="5"/>
      <c r="AB20" s="1" t="s">
        <v>44</v>
      </c>
      <c r="AC20" s="1">
        <f>COUNTIF(L2:L1048576,"=3 MIN")</f>
        <v>0</v>
      </c>
      <c r="AD20" s="4"/>
      <c r="AE20" s="4"/>
      <c r="AF20" s="4"/>
      <c r="AG20" s="5"/>
      <c r="AH20" s="5"/>
      <c r="AI20" s="5"/>
      <c r="AJ20" s="1" t="s">
        <v>69</v>
      </c>
      <c r="AK20" s="1">
        <f>COUNTIFS(E:E,"=ASIAN",K:K,"=ORDER BLOCK")</f>
        <v>0</v>
      </c>
      <c r="AL20" s="23">
        <f>COUNTIFS(E:E,"=ASIAN",K:K,"=ORDER BLOCK", M:M,"=WIN")</f>
        <v>0</v>
      </c>
      <c r="AM20" s="24">
        <f>COUNTIFS(E:E,"=ASIAN",K:K,"=ORDER BLOCK", M:M,"=LOSS")</f>
        <v>0</v>
      </c>
      <c r="AN20" s="25">
        <f>COUNTIFS(E:E,"=ASIAN",K:K,"=ORDER BLOCK", M:M,"=BREAK-EVEN")</f>
        <v>0</v>
      </c>
      <c r="AO20" s="1" t="e">
        <f>AL20/AK20*100</f>
        <v>#DIV/0!</v>
      </c>
      <c r="AP20" s="12"/>
      <c r="AQ20" s="12"/>
      <c r="AR20" s="12"/>
      <c r="AS20" s="12"/>
      <c r="AT20" s="12"/>
      <c r="AU20" s="12"/>
      <c r="AV20" s="12"/>
      <c r="AW20" s="12"/>
      <c r="AX20" s="12"/>
      <c r="AY20" s="5"/>
    </row>
    <row r="21" spans="20:51" x14ac:dyDescent="0.35">
      <c r="T21" s="5"/>
      <c r="U21" s="1" t="s">
        <v>4</v>
      </c>
      <c r="V21" s="1" t="s">
        <v>24</v>
      </c>
      <c r="W21" s="4"/>
      <c r="X21" s="4"/>
      <c r="Y21" s="4"/>
      <c r="Z21" s="4"/>
      <c r="AA21" s="5"/>
      <c r="AB21" s="1" t="s">
        <v>45</v>
      </c>
      <c r="AC21" s="1">
        <f>COUNTIF(L2:L1048576,"=5 MIN")</f>
        <v>0</v>
      </c>
      <c r="AD21" s="4"/>
      <c r="AE21" s="4"/>
      <c r="AF21" s="4"/>
      <c r="AG21" s="5"/>
      <c r="AH21" s="5"/>
      <c r="AI21" s="5"/>
      <c r="AP21" s="12"/>
      <c r="AQ21" s="12"/>
      <c r="AR21" s="12"/>
      <c r="AS21" s="12"/>
      <c r="AT21" s="12"/>
      <c r="AU21" s="12"/>
      <c r="AV21" s="12"/>
      <c r="AW21" s="12"/>
      <c r="AX21" s="12"/>
      <c r="AY21" s="5"/>
    </row>
    <row r="22" spans="20:51" x14ac:dyDescent="0.35">
      <c r="T22" s="5"/>
      <c r="U22" s="1" t="s">
        <v>33</v>
      </c>
      <c r="V22" s="1">
        <f>COUNTIF(I2:I1048576,"=SCALP")</f>
        <v>0</v>
      </c>
      <c r="W22" s="4"/>
      <c r="X22" s="4"/>
      <c r="Y22" s="4"/>
      <c r="Z22" s="4"/>
      <c r="AA22" s="5"/>
      <c r="AB22" s="1" t="s">
        <v>46</v>
      </c>
      <c r="AC22" s="1">
        <f>COUNTIF(L2:L1048576,"=15 MIN")</f>
        <v>0</v>
      </c>
      <c r="AD22" s="4"/>
      <c r="AE22" s="4"/>
      <c r="AF22" s="4"/>
      <c r="AG22" s="5"/>
      <c r="AH22" s="5"/>
      <c r="AI22" s="5"/>
      <c r="AJ22" s="1" t="s">
        <v>67</v>
      </c>
      <c r="AK22" s="36" t="s">
        <v>68</v>
      </c>
      <c r="AL22" s="36"/>
      <c r="AM22" s="36"/>
      <c r="AN22" s="36"/>
      <c r="AO22" s="36"/>
      <c r="AP22" s="12"/>
      <c r="AQ22" s="12"/>
      <c r="AR22" s="12"/>
      <c r="AS22" s="12"/>
      <c r="AT22" s="12"/>
      <c r="AU22" s="12"/>
      <c r="AV22" s="12"/>
      <c r="AW22" s="12"/>
      <c r="AX22" s="12"/>
      <c r="AY22" s="5"/>
    </row>
    <row r="23" spans="20:51" x14ac:dyDescent="0.35">
      <c r="T23" s="5"/>
      <c r="U23" s="1" t="s">
        <v>20</v>
      </c>
      <c r="V23" s="1">
        <f>COUNTIF(I2:I1048576,"=DAY")</f>
        <v>0</v>
      </c>
      <c r="W23" s="4"/>
      <c r="X23" s="4"/>
      <c r="Y23" s="4"/>
      <c r="Z23" s="4"/>
      <c r="AA23" s="5"/>
      <c r="AB23" s="1" t="s">
        <v>47</v>
      </c>
      <c r="AC23" s="1">
        <f>COUNTIF(L2:L1048576,"=30 MIN")</f>
        <v>0</v>
      </c>
      <c r="AD23" s="4"/>
      <c r="AE23" s="4"/>
      <c r="AF23" s="4"/>
      <c r="AG23" s="5"/>
      <c r="AH23" s="5"/>
      <c r="AI23" s="5"/>
      <c r="AJ23" s="21" t="s">
        <v>57</v>
      </c>
      <c r="AK23" s="21">
        <f>COUNTIFS(E:E,"=LONDON",K:K,"=BREAKER BLOCK")</f>
        <v>0</v>
      </c>
      <c r="AL23" s="23">
        <f>COUNTIFS(E:E,"=LONDON",K:K,"=BREAKER BLOCK", M:M,"=WIN")</f>
        <v>0</v>
      </c>
      <c r="AM23" s="24">
        <f>COUNTIFS(E:E,"=LONDON",K:K,"=BREAKER BLOCK", M:M,"=LOSS")</f>
        <v>0</v>
      </c>
      <c r="AN23" s="25">
        <f>COUNTIFS(E:E,"=LONDON",K:K,"=BREAKER BLOCK", M:M,"=BREAK-EVEN")</f>
        <v>0</v>
      </c>
      <c r="AO23" s="1" t="e">
        <f>AL23/AK23</f>
        <v>#DIV/0!</v>
      </c>
      <c r="AP23" s="12"/>
      <c r="AQ23" s="12"/>
      <c r="AR23" s="12"/>
      <c r="AS23" s="12"/>
      <c r="AT23" s="12"/>
      <c r="AU23" s="12"/>
      <c r="AV23" s="12"/>
      <c r="AW23" s="12"/>
      <c r="AX23" s="12"/>
      <c r="AY23" s="5"/>
    </row>
    <row r="24" spans="20:51" x14ac:dyDescent="0.35">
      <c r="T24" s="5"/>
      <c r="U24" s="1" t="s">
        <v>34</v>
      </c>
      <c r="V24" s="1">
        <f>COUNTIF(I2:I1048576,"=SWING")</f>
        <v>0</v>
      </c>
      <c r="W24" s="4"/>
      <c r="X24" s="4"/>
      <c r="Y24" s="4"/>
      <c r="Z24" s="4"/>
      <c r="AA24" s="5"/>
      <c r="AB24" s="1" t="s">
        <v>17</v>
      </c>
      <c r="AC24" s="1">
        <f>COUNTIF(L2:L1048576,"=1 HR")</f>
        <v>0</v>
      </c>
      <c r="AD24" s="4"/>
      <c r="AE24" s="4"/>
      <c r="AF24" s="4"/>
      <c r="AG24" s="5"/>
      <c r="AH24" s="5"/>
      <c r="AI24" s="5"/>
      <c r="AJ24" s="22" t="s">
        <v>56</v>
      </c>
      <c r="AK24" s="22">
        <f>COUNTIFS(E:E,"=NEW YORK",K:K,"=BREAKER BLOCK")</f>
        <v>0</v>
      </c>
      <c r="AL24" s="23">
        <f>COUNTIFS(E:E,"=NEW YORK",K:K,"=BREAKER BLOCK", M:M,"=WIN")</f>
        <v>0</v>
      </c>
      <c r="AM24" s="24">
        <f>COUNTIFS(E:E,"=NEW YORK",K:K,"=BREAKER BLOCK", M:M,"=LOSS")</f>
        <v>0</v>
      </c>
      <c r="AN24" s="25">
        <f>COUNTIFS(E:E,"=NEW YORK",K:K,"=BREAKER BLOCK", M:M,"=BREAK-EVEN")</f>
        <v>0</v>
      </c>
      <c r="AO24" s="1" t="e">
        <f>AL24/AK24*100</f>
        <v>#DIV/0!</v>
      </c>
      <c r="AP24" s="12"/>
      <c r="AQ24" s="12"/>
      <c r="AR24" s="12"/>
      <c r="AS24" s="12"/>
      <c r="AT24" s="12"/>
      <c r="AU24" s="12"/>
      <c r="AV24" s="12"/>
      <c r="AW24" s="12"/>
      <c r="AX24" s="12"/>
      <c r="AY24" s="5"/>
    </row>
    <row r="25" spans="20:51" x14ac:dyDescent="0.35">
      <c r="T25" s="5"/>
      <c r="U25" s="4"/>
      <c r="V25" s="4"/>
      <c r="W25" s="4"/>
      <c r="X25" s="4"/>
      <c r="Y25" s="4"/>
      <c r="Z25" s="4"/>
      <c r="AA25" s="5"/>
      <c r="AB25" s="4"/>
      <c r="AC25" s="4"/>
      <c r="AD25" s="4"/>
      <c r="AE25" s="4"/>
      <c r="AF25" s="4"/>
      <c r="AG25" s="5"/>
      <c r="AH25" s="5"/>
      <c r="AI25" s="5"/>
      <c r="AJ25" s="1" t="s">
        <v>69</v>
      </c>
      <c r="AK25" s="1">
        <f>COUNTIFS(E:E,"=ASIAN",K:K,"=BREAKER BLOCK")</f>
        <v>0</v>
      </c>
      <c r="AL25" s="23">
        <f>COUNTIFS(E:E,"=ASIAN",K:K,"=BREAKER BLOCK", M:M,"=WIN")</f>
        <v>0</v>
      </c>
      <c r="AM25" s="24">
        <f>COUNTIFS(E:E,"=ASIAN",K:K,"=BREAKER BLOCK", M:M,"=LOSS")</f>
        <v>0</v>
      </c>
      <c r="AN25" s="25">
        <f>COUNTIFS(E:E,"=ASIAN",K:K,"=BREAKER BLOCK", M:M,"=BREAK-EVEN")</f>
        <v>0</v>
      </c>
      <c r="AO25" s="1" t="e">
        <f>AL25/AK25*100</f>
        <v>#DIV/0!</v>
      </c>
      <c r="AP25" s="12"/>
      <c r="AQ25" s="12"/>
      <c r="AR25" s="12"/>
      <c r="AS25" s="12"/>
      <c r="AT25" s="12"/>
      <c r="AU25" s="12"/>
      <c r="AV25" s="12"/>
      <c r="AW25" s="12"/>
      <c r="AX25" s="12"/>
      <c r="AY25" s="5"/>
    </row>
    <row r="26" spans="20:51" x14ac:dyDescent="0.35">
      <c r="T26" s="5"/>
      <c r="U26" s="36" t="s">
        <v>60</v>
      </c>
      <c r="V26" s="36"/>
      <c r="W26" s="36"/>
      <c r="X26" s="36"/>
      <c r="Y26" s="36"/>
      <c r="Z26" s="36"/>
      <c r="AA26" s="5"/>
      <c r="AB26" s="1" t="s">
        <v>37</v>
      </c>
      <c r="AC26" s="1" t="s">
        <v>24</v>
      </c>
      <c r="AD26" s="4"/>
      <c r="AE26" s="4"/>
      <c r="AF26" s="4"/>
      <c r="AG26" s="5"/>
      <c r="AH26" s="5"/>
      <c r="AI26" s="5"/>
      <c r="AP26" s="12"/>
      <c r="AQ26" s="12"/>
      <c r="AR26" s="12"/>
      <c r="AS26" s="12"/>
      <c r="AT26" s="12"/>
      <c r="AU26" s="12"/>
      <c r="AV26" s="12"/>
      <c r="AW26" s="12"/>
      <c r="AX26" s="12"/>
      <c r="AY26" s="5"/>
    </row>
    <row r="27" spans="20:51" x14ac:dyDescent="0.35">
      <c r="T27" s="5"/>
      <c r="U27" s="11" t="s">
        <v>61</v>
      </c>
      <c r="V27" s="1" t="s">
        <v>24</v>
      </c>
      <c r="W27" s="23" t="s">
        <v>58</v>
      </c>
      <c r="X27" s="24" t="s">
        <v>26</v>
      </c>
      <c r="Y27" s="25" t="s">
        <v>16</v>
      </c>
      <c r="Z27" s="1" t="s">
        <v>51</v>
      </c>
      <c r="AA27" s="5"/>
      <c r="AB27" s="1" t="s">
        <v>40</v>
      </c>
      <c r="AC27" s="1">
        <f>COUNTIF(N2:N1048576,"=YES")</f>
        <v>0</v>
      </c>
      <c r="AD27" s="4"/>
      <c r="AE27" s="4"/>
      <c r="AF27" s="4"/>
      <c r="AG27" s="5"/>
      <c r="AH27" s="5"/>
      <c r="AI27" s="5"/>
      <c r="AJ27" s="7" t="s">
        <v>67</v>
      </c>
      <c r="AK27" s="37" t="s">
        <v>59</v>
      </c>
      <c r="AL27" s="37"/>
      <c r="AM27" s="37"/>
      <c r="AN27" s="37"/>
      <c r="AO27" s="37"/>
      <c r="AP27" s="12"/>
      <c r="AQ27" s="12"/>
      <c r="AR27" s="12"/>
      <c r="AS27" s="12"/>
      <c r="AT27" s="12"/>
      <c r="AU27" s="12"/>
      <c r="AV27" s="12"/>
      <c r="AW27" s="12"/>
      <c r="AX27" s="12"/>
      <c r="AY27" s="5"/>
    </row>
    <row r="28" spans="20:51" x14ac:dyDescent="0.35">
      <c r="T28" s="5"/>
      <c r="U28" s="26" t="s">
        <v>57</v>
      </c>
      <c r="V28" s="21">
        <f>COUNTIF(E2:E1048576,"LONDON")</f>
        <v>0</v>
      </c>
      <c r="W28" s="23">
        <f>COUNTIFS(E2:E1048576,"=LONDON",M2:M1048576,"=WIN")</f>
        <v>0</v>
      </c>
      <c r="X28" s="24">
        <f>COUNTIFS(E2:E1048576,"=LONDON",M2:M1048576,"=LOSS")</f>
        <v>0</v>
      </c>
      <c r="Y28" s="25">
        <f>COUNTIFS(E2:E1048576,"=LONDON",M2:M1048576,"=BREAK-EVEN")</f>
        <v>0</v>
      </c>
      <c r="Z28" s="1" t="e">
        <f>W28/V28*100</f>
        <v>#DIV/0!</v>
      </c>
      <c r="AA28" s="5"/>
      <c r="AB28" s="1" t="s">
        <v>41</v>
      </c>
      <c r="AC28" s="1">
        <f>COUNTIF(O2:O1048576,"=YES")</f>
        <v>0</v>
      </c>
      <c r="AD28" s="4"/>
      <c r="AE28" s="4"/>
      <c r="AF28" s="4"/>
      <c r="AG28" s="5"/>
      <c r="AH28" s="5"/>
      <c r="AI28" s="5"/>
      <c r="AJ28" s="21" t="s">
        <v>57</v>
      </c>
      <c r="AK28" s="21">
        <f>COUNTIFS(E:E,"=LONDON",K:K,"=FVG/IMB")</f>
        <v>0</v>
      </c>
      <c r="AL28" s="23">
        <f>COUNTIFS(E:E,"=LONDON",K:K,"=FVG/IMB", M:M,"=WIN")</f>
        <v>0</v>
      </c>
      <c r="AM28" s="24">
        <f>COUNTIFS(E:E,"=LONDON",K:K,"=FVG/IMB", M:M,"=LOSS")</f>
        <v>0</v>
      </c>
      <c r="AN28" s="25">
        <f>COUNTIFS(E:E,"=LONDON",K:K,"=FVG/IMB", M:M,"=BREAK-EVEN")</f>
        <v>0</v>
      </c>
      <c r="AO28" s="1" t="e">
        <f>AL28/AK28*100</f>
        <v>#DIV/0!</v>
      </c>
      <c r="AP28" s="12"/>
      <c r="AQ28" s="12"/>
      <c r="AR28" s="12"/>
      <c r="AS28" s="12"/>
      <c r="AT28" s="12"/>
      <c r="AU28" s="12"/>
      <c r="AV28" s="12"/>
      <c r="AW28" s="12"/>
      <c r="AX28" s="12"/>
      <c r="AY28" s="5"/>
    </row>
    <row r="29" spans="20:51" x14ac:dyDescent="0.35">
      <c r="T29" s="5"/>
      <c r="U29" s="27" t="s">
        <v>56</v>
      </c>
      <c r="V29" s="20">
        <f>COUNTIF(E2:E1048576,"NEW YORK")</f>
        <v>0</v>
      </c>
      <c r="W29" s="23">
        <f>COUNTIFS(E2:E1048576,"=NEW YORK",M2:M1048576,"=WIN")</f>
        <v>0</v>
      </c>
      <c r="X29" s="24">
        <f>COUNTIFS(E2:E1048576,"=NEW YORK",M2:M1048576,"=LOSS")</f>
        <v>0</v>
      </c>
      <c r="Y29" s="25">
        <f>COUNTIFS(E2:E1048576,"=NEW YORK",M2:M1048576,"=BREAK-EVEN")</f>
        <v>0</v>
      </c>
      <c r="Z29" s="1" t="e">
        <f>W29/V29*100</f>
        <v>#DIV/0!</v>
      </c>
      <c r="AA29" s="5"/>
      <c r="AB29" s="1" t="s">
        <v>42</v>
      </c>
      <c r="AC29" s="1">
        <f>COUNTIF(P2:P1048576,"=YES")</f>
        <v>0</v>
      </c>
      <c r="AD29" s="4"/>
      <c r="AE29" s="4"/>
      <c r="AF29" s="4"/>
      <c r="AG29" s="5"/>
      <c r="AH29" s="5"/>
      <c r="AI29" s="5"/>
      <c r="AJ29" s="22" t="s">
        <v>56</v>
      </c>
      <c r="AK29" s="22">
        <f>COUNTIFS(E:E,"=NEW YORK",K:K,"=FVG/IMB")</f>
        <v>0</v>
      </c>
      <c r="AL29" s="23">
        <f>COUNTIFS(E:E,"=NEW YORK",K:K,"=FVG/IMB", M:M,"=WIN")</f>
        <v>0</v>
      </c>
      <c r="AM29" s="24">
        <f>COUNTIFS(E:E,"=NEW YORK",K:K,"=FVG/IMB", M:M,"=LOSS")</f>
        <v>0</v>
      </c>
      <c r="AN29" s="25">
        <f>COUNTIFS(E:E,"=NEW YORK",K:K,"=FVG/IMB", M:M,"=BREAK-EVEN")</f>
        <v>0</v>
      </c>
      <c r="AO29" s="1" t="e">
        <f>AL29/AK29*100</f>
        <v>#DIV/0!</v>
      </c>
      <c r="AP29" s="12"/>
      <c r="AQ29" s="12"/>
      <c r="AR29" s="12"/>
      <c r="AS29" s="12"/>
      <c r="AT29" s="12"/>
      <c r="AU29" s="12"/>
      <c r="AV29" s="12"/>
      <c r="AW29" s="12"/>
      <c r="AX29" s="12"/>
      <c r="AY29" s="5"/>
    </row>
    <row r="30" spans="20:51" x14ac:dyDescent="0.35">
      <c r="T30" s="5"/>
      <c r="U30" s="1" t="s">
        <v>69</v>
      </c>
      <c r="V30" s="1">
        <f>COUNTIF(E2:E1048576,"ASIAN")</f>
        <v>0</v>
      </c>
      <c r="W30" s="23">
        <f>COUNTIFS(E2:E1048576,"=ASIAN",M2:M1048576,"=WIN")</f>
        <v>0</v>
      </c>
      <c r="X30" s="24">
        <f>COUNTIFS(E2:E1048576,"=ASIAN",M2:M1048576,"=LOSS")</f>
        <v>0</v>
      </c>
      <c r="Y30" s="25">
        <f>COUNTIFS(E2:E1048576,"=ASIAN",M2:M1048576,"=BREAK-EVEN")</f>
        <v>0</v>
      </c>
      <c r="Z30" s="1" t="e">
        <f>W30/V30*100</f>
        <v>#DIV/0!</v>
      </c>
      <c r="AA30" s="5"/>
      <c r="AB30" s="1" t="s">
        <v>43</v>
      </c>
      <c r="AC30" s="1">
        <f>COUNTIF(Q2:Q1048576,"=YES")</f>
        <v>0</v>
      </c>
      <c r="AD30" s="4"/>
      <c r="AE30" s="4"/>
      <c r="AF30" s="4"/>
      <c r="AG30" s="5"/>
      <c r="AH30" s="5"/>
      <c r="AI30" s="5"/>
      <c r="AJ30" s="1" t="s">
        <v>69</v>
      </c>
      <c r="AK30" s="1">
        <f>COUNTIFS(E:E,"=ASIAN",K:K,"=FVG/IMB")</f>
        <v>0</v>
      </c>
      <c r="AL30" s="23">
        <f>COUNTIFS(E:E,"=ASIAN",K:K,"=FVG/IMB", M:M,"=WIN")</f>
        <v>0</v>
      </c>
      <c r="AM30" s="24">
        <f>COUNTIFS(E:E,"=ASIAN",K:K,"=FVG/IMB", M:M,"=LOSS")</f>
        <v>0</v>
      </c>
      <c r="AN30" s="25">
        <f>COUNTIFS(E:E,"=ASIAN",K:K,"=FVG/IMB", M:M,"=BREAK-EVEN")</f>
        <v>0</v>
      </c>
      <c r="AO30" s="1" t="e">
        <f>AL30/AK30*100</f>
        <v>#DIV/0!</v>
      </c>
      <c r="AP30" s="12"/>
      <c r="AQ30" s="12"/>
      <c r="AR30" s="12"/>
      <c r="AS30" s="12"/>
      <c r="AT30" s="12"/>
      <c r="AU30" s="12"/>
      <c r="AV30" s="12"/>
      <c r="AW30" s="12"/>
      <c r="AX30" s="12"/>
      <c r="AY30" s="5"/>
    </row>
    <row r="31" spans="20:51" x14ac:dyDescent="0.35">
      <c r="T31" s="5"/>
      <c r="U31" s="4"/>
      <c r="V31" s="4"/>
      <c r="W31" s="4"/>
      <c r="X31" s="4"/>
      <c r="Y31" s="4"/>
      <c r="Z31" s="4"/>
      <c r="AA31" s="5"/>
      <c r="AB31" s="4"/>
      <c r="AC31" s="4"/>
      <c r="AD31" s="4"/>
      <c r="AE31" s="4"/>
      <c r="AF31" s="4"/>
      <c r="AG31" s="5"/>
      <c r="AH31" s="5"/>
      <c r="AI31" s="5"/>
      <c r="AP31" s="12"/>
      <c r="AQ31" s="12"/>
      <c r="AR31" s="12"/>
      <c r="AS31" s="12"/>
      <c r="AT31" s="12"/>
      <c r="AU31" s="12"/>
      <c r="AV31" s="12"/>
      <c r="AW31" s="12"/>
      <c r="AX31" s="12"/>
      <c r="AY31" s="5"/>
    </row>
    <row r="32" spans="20:51" x14ac:dyDescent="0.35">
      <c r="T32" s="5"/>
      <c r="U32" s="4"/>
      <c r="V32" s="4"/>
      <c r="W32" s="4"/>
      <c r="X32" s="4"/>
      <c r="Y32" s="4"/>
      <c r="Z32" s="4"/>
      <c r="AA32" s="5"/>
      <c r="AB32" s="4"/>
      <c r="AC32" s="4"/>
      <c r="AD32" s="4"/>
      <c r="AE32" s="4"/>
      <c r="AF32" s="4"/>
      <c r="AG32" s="5"/>
      <c r="AH32" s="5"/>
      <c r="AI32" s="5"/>
      <c r="AJ32" s="4"/>
      <c r="AK32" s="4"/>
      <c r="AL32" s="4"/>
      <c r="AM32" s="4"/>
      <c r="AN32" s="4"/>
      <c r="AO32" s="4"/>
      <c r="AP32" s="12"/>
      <c r="AQ32" s="12"/>
      <c r="AR32" s="12"/>
      <c r="AS32" s="12"/>
      <c r="AT32" s="12"/>
      <c r="AU32" s="12"/>
      <c r="AV32" s="12"/>
      <c r="AW32" s="12"/>
      <c r="AX32" s="12"/>
      <c r="AY32" s="5"/>
    </row>
    <row r="33" spans="20:51" x14ac:dyDescent="0.35">
      <c r="T33" s="5"/>
      <c r="U33" s="4"/>
      <c r="V33" s="4"/>
      <c r="W33" s="4"/>
      <c r="X33" s="4"/>
      <c r="Y33" s="4"/>
      <c r="Z33" s="4"/>
      <c r="AA33" s="5"/>
      <c r="AB33" s="4"/>
      <c r="AC33" s="4"/>
      <c r="AD33" s="4"/>
      <c r="AE33" s="4"/>
      <c r="AF33" s="4"/>
      <c r="AG33" s="5"/>
      <c r="AH33" s="5"/>
      <c r="AI33" s="5"/>
      <c r="AJ33" s="4"/>
      <c r="AK33" s="4"/>
      <c r="AL33" s="4"/>
      <c r="AM33" s="4"/>
      <c r="AN33" s="4"/>
      <c r="AO33" s="4"/>
      <c r="AP33" s="12"/>
      <c r="AQ33" s="12"/>
      <c r="AR33" s="12"/>
      <c r="AS33" s="12"/>
      <c r="AT33" s="12"/>
      <c r="AU33" s="12"/>
      <c r="AV33" s="12"/>
      <c r="AW33" s="12"/>
      <c r="AX33" s="12"/>
      <c r="AY33" s="5"/>
    </row>
    <row r="34" spans="20:51" x14ac:dyDescent="0.35">
      <c r="T34" s="5"/>
      <c r="U34" s="4"/>
      <c r="V34" s="4"/>
      <c r="W34" s="4"/>
      <c r="X34" s="4"/>
      <c r="Y34" s="4"/>
      <c r="Z34" s="4"/>
      <c r="AA34" s="5"/>
      <c r="AB34" s="4"/>
      <c r="AC34" s="4"/>
      <c r="AD34" s="4"/>
      <c r="AE34" s="4"/>
      <c r="AF34" s="4"/>
      <c r="AG34" s="5"/>
      <c r="AH34" s="5"/>
      <c r="AI34" s="5"/>
      <c r="AP34" s="5"/>
      <c r="AQ34" s="5"/>
      <c r="AR34" s="5"/>
      <c r="AS34" s="5"/>
      <c r="AT34" s="5"/>
      <c r="AU34" s="5"/>
      <c r="AV34" s="5"/>
      <c r="AW34" s="5"/>
      <c r="AX34" s="5"/>
      <c r="AY34" s="5"/>
    </row>
    <row r="35" spans="20:51" x14ac:dyDescent="0.35">
      <c r="T35" s="5"/>
      <c r="U35" s="4"/>
      <c r="V35" s="4"/>
      <c r="W35" s="4"/>
      <c r="X35" s="4"/>
      <c r="Y35" s="4"/>
      <c r="Z35" s="4"/>
      <c r="AA35" s="5"/>
      <c r="AB35" s="4"/>
      <c r="AC35" s="4"/>
      <c r="AD35" s="4"/>
      <c r="AE35" s="4"/>
      <c r="AF35" s="4"/>
      <c r="AG35" s="5"/>
      <c r="AH35" s="5"/>
      <c r="AI35" s="5"/>
      <c r="AP35" s="5"/>
      <c r="AQ35" s="5"/>
      <c r="AR35" s="5"/>
      <c r="AS35" s="5"/>
      <c r="AT35" s="5"/>
      <c r="AU35" s="5"/>
      <c r="AV35" s="5"/>
      <c r="AW35" s="5"/>
      <c r="AX35" s="5"/>
      <c r="AY35" s="5"/>
    </row>
    <row r="36" spans="20:51" x14ac:dyDescent="0.35">
      <c r="T36" s="5"/>
      <c r="U36" s="4"/>
      <c r="V36" s="4"/>
      <c r="W36" s="4"/>
      <c r="X36" s="4"/>
      <c r="Y36" s="4"/>
      <c r="Z36" s="4"/>
      <c r="AA36" s="5"/>
      <c r="AB36" s="4"/>
      <c r="AC36" s="4"/>
      <c r="AD36" s="4"/>
      <c r="AE36" s="4"/>
      <c r="AF36" s="4"/>
      <c r="AG36" s="5"/>
      <c r="AH36" s="5"/>
      <c r="AI36" s="5"/>
      <c r="AP36" s="5"/>
      <c r="AQ36" s="5"/>
      <c r="AR36" s="5"/>
      <c r="AS36" s="5"/>
      <c r="AT36" s="5"/>
      <c r="AU36" s="5"/>
      <c r="AV36" s="5"/>
      <c r="AW36" s="5"/>
      <c r="AX36" s="5"/>
      <c r="AY36" s="5"/>
    </row>
    <row r="37" spans="20:51" x14ac:dyDescent="0.35">
      <c r="T37" s="5"/>
      <c r="U37" s="4"/>
      <c r="V37" s="4"/>
      <c r="W37" s="4"/>
      <c r="X37" s="4"/>
      <c r="Y37" s="4"/>
      <c r="Z37" s="4"/>
      <c r="AA37" s="5"/>
      <c r="AB37" s="4"/>
      <c r="AC37" s="4"/>
      <c r="AD37" s="4"/>
      <c r="AE37" s="4"/>
      <c r="AF37" s="4"/>
      <c r="AG37" s="5"/>
      <c r="AH37" s="5"/>
      <c r="AI37" s="5"/>
      <c r="AP37" s="5"/>
      <c r="AQ37" s="5"/>
      <c r="AR37" s="5"/>
      <c r="AS37" s="5"/>
      <c r="AT37" s="5"/>
      <c r="AU37" s="5"/>
      <c r="AV37" s="5"/>
      <c r="AW37" s="5"/>
      <c r="AX37" s="5"/>
      <c r="AY37" s="5"/>
    </row>
    <row r="38" spans="20:51" x14ac:dyDescent="0.35">
      <c r="T38" s="5"/>
      <c r="U38" s="15"/>
      <c r="V38" s="16"/>
      <c r="W38" s="4"/>
      <c r="X38" s="4"/>
      <c r="Y38" s="4"/>
      <c r="Z38" s="4"/>
      <c r="AA38" s="5"/>
      <c r="AB38" s="4"/>
      <c r="AC38" s="4"/>
      <c r="AD38" s="4"/>
      <c r="AE38" s="4"/>
      <c r="AF38" s="4"/>
      <c r="AG38" s="5"/>
      <c r="AH38" s="5"/>
      <c r="AI38" s="5"/>
      <c r="AP38" s="5"/>
      <c r="AQ38" s="5"/>
      <c r="AR38" s="5"/>
      <c r="AS38" s="5"/>
      <c r="AT38" s="5"/>
      <c r="AU38" s="5"/>
      <c r="AV38" s="5"/>
      <c r="AW38" s="5"/>
      <c r="AX38" s="5"/>
      <c r="AY38" s="5"/>
    </row>
    <row r="39" spans="20:51" x14ac:dyDescent="0.35">
      <c r="T39" s="5"/>
      <c r="U39" s="4"/>
      <c r="V39" s="4"/>
      <c r="W39" s="4"/>
      <c r="X39" s="4"/>
      <c r="Y39" s="4"/>
      <c r="Z39" s="4"/>
      <c r="AA39" s="5"/>
      <c r="AB39" s="4"/>
      <c r="AC39" s="4"/>
      <c r="AD39" s="4"/>
      <c r="AE39" s="4"/>
      <c r="AF39" s="4"/>
      <c r="AG39" s="5"/>
      <c r="AH39" s="5"/>
      <c r="AI39" s="5"/>
      <c r="AP39" s="5"/>
      <c r="AQ39" s="5"/>
      <c r="AR39" s="5"/>
      <c r="AS39" s="5"/>
      <c r="AT39" s="5"/>
      <c r="AU39" s="5"/>
      <c r="AV39" s="5"/>
      <c r="AW39" s="5"/>
      <c r="AX39" s="5"/>
      <c r="AY39" s="5"/>
    </row>
    <row r="40" spans="20:51" x14ac:dyDescent="0.35">
      <c r="T40" s="5"/>
      <c r="U40" s="4"/>
      <c r="V40" s="4"/>
      <c r="W40" s="4"/>
      <c r="X40" s="4"/>
      <c r="Y40" s="4"/>
      <c r="Z40" s="4"/>
      <c r="AA40" s="5"/>
      <c r="AB40" s="4"/>
      <c r="AC40" s="4"/>
      <c r="AD40" s="4"/>
      <c r="AE40" s="4"/>
      <c r="AF40" s="4"/>
      <c r="AG40" s="5"/>
      <c r="AH40" s="5"/>
      <c r="AI40" s="5"/>
      <c r="AP40" s="5"/>
      <c r="AQ40" s="5"/>
      <c r="AR40" s="5"/>
      <c r="AS40" s="5"/>
      <c r="AT40" s="5"/>
      <c r="AU40" s="5"/>
      <c r="AV40" s="5"/>
      <c r="AW40" s="5"/>
      <c r="AX40" s="5"/>
      <c r="AY40" s="5"/>
    </row>
    <row r="41" spans="20:51" x14ac:dyDescent="0.35">
      <c r="T41" s="5"/>
      <c r="U41" s="4"/>
      <c r="V41" s="4"/>
      <c r="W41" s="4"/>
      <c r="X41" s="4"/>
      <c r="Y41" s="4"/>
      <c r="Z41" s="4"/>
      <c r="AA41" s="5"/>
      <c r="AG41" s="5"/>
      <c r="AH41" s="5"/>
      <c r="AI41" s="5"/>
      <c r="AP41" s="5"/>
      <c r="AQ41" s="5"/>
      <c r="AR41" s="5"/>
      <c r="AS41" s="5"/>
      <c r="AT41" s="5"/>
      <c r="AU41" s="5"/>
      <c r="AV41" s="5"/>
      <c r="AW41" s="5"/>
      <c r="AX41" s="5"/>
      <c r="AY41" s="5"/>
    </row>
    <row r="42" spans="20:51" x14ac:dyDescent="0.35">
      <c r="T42" s="5"/>
      <c r="U42" s="4"/>
      <c r="V42" s="4"/>
      <c r="W42" s="4"/>
      <c r="X42" s="4"/>
      <c r="Y42" s="4"/>
      <c r="Z42" s="4"/>
      <c r="AA42" s="5"/>
      <c r="AG42" s="5"/>
      <c r="AH42" s="5"/>
      <c r="AI42" s="5"/>
      <c r="AP42" s="5"/>
      <c r="AQ42" s="5"/>
      <c r="AR42" s="5"/>
      <c r="AS42" s="5"/>
      <c r="AT42" s="5"/>
      <c r="AU42" s="5"/>
      <c r="AV42" s="5"/>
      <c r="AW42" s="5"/>
      <c r="AX42" s="5"/>
      <c r="AY42" s="5"/>
    </row>
    <row r="46" spans="20:51" x14ac:dyDescent="0.35">
      <c r="V46" s="2"/>
    </row>
    <row r="47" spans="20:51" x14ac:dyDescent="0.35">
      <c r="U47" s="2"/>
    </row>
  </sheetData>
  <mergeCells count="9">
    <mergeCell ref="AK22:AO22"/>
    <mergeCell ref="U26:Z26"/>
    <mergeCell ref="AK27:AO27"/>
    <mergeCell ref="AB2:AC2"/>
    <mergeCell ref="AJ2:AN2"/>
    <mergeCell ref="AK3:AO3"/>
    <mergeCell ref="AK9:AO9"/>
    <mergeCell ref="AJ15:AO15"/>
    <mergeCell ref="AK16:AO16"/>
  </mergeCells>
  <dataValidations count="12">
    <dataValidation type="list" showInputMessage="1" showErrorMessage="1" sqref="M2:M1048576" xr:uid="{EB948FA3-35F8-4853-8368-E95AFCD4DD3A}">
      <formula1>"WIN, LOSS, BREAK-EVEN"</formula1>
    </dataValidation>
    <dataValidation type="list" showInputMessage="1" showErrorMessage="1" sqref="N2:Q1048576" xr:uid="{37FA9D49-90DC-4FBC-948F-B667AFE85C9C}">
      <formula1>"YES, NO"</formula1>
    </dataValidation>
    <dataValidation type="list" showInputMessage="1" showErrorMessage="1" sqref="L2:L1048576" xr:uid="{4F7D34C9-C721-44FF-9881-F82BD5431916}">
      <formula1>"1 MIN, 3 MIN, 5 MIN, 15 MIN, 30 MIN, 1 HR"</formula1>
    </dataValidation>
    <dataValidation type="list" showInputMessage="1" showErrorMessage="1" sqref="K2:K1048576" xr:uid="{92BE3F74-C602-438A-907F-08F79C97E197}">
      <formula1>"ORDER BLOCK, BREAKER BLOCK, FVG/IMB"</formula1>
    </dataValidation>
    <dataValidation type="list" showInputMessage="1" showErrorMessage="1" sqref="J2:J3 J5:J1048576" xr:uid="{A5BFB4ED-871E-48B2-8E49-EA3F69D20E73}">
      <formula1>"BREAK &amp; RETEST, LIQUIDITY GRAB (PREV H L or TRENDLINE)"</formula1>
    </dataValidation>
    <dataValidation type="list" showInputMessage="1" showErrorMessage="1" sqref="I2:I1048576" xr:uid="{65BEF9AA-3811-4055-9915-BAB19CF2EC4F}">
      <formula1>"SCALP, DAY, SWING"</formula1>
    </dataValidation>
    <dataValidation type="list" showInputMessage="1" showErrorMessage="1" sqref="E2:E1048576" xr:uid="{B94B6E22-DA28-44F6-BA23-E812A9F988F8}">
      <formula1>"LONDON, NEW YORK, ASIAN"</formula1>
    </dataValidation>
    <dataValidation type="list" showInputMessage="1" showErrorMessage="1" sqref="D2:D1048576" xr:uid="{2AEC6E52-BC33-4C2A-AF86-AD44EC9CAD74}">
      <formula1>"MONDAY, TUESDAY, WEDNESDAY, THURSDAY, FRIDAY"</formula1>
    </dataValidation>
    <dataValidation type="list" showInputMessage="1" showErrorMessage="1" sqref="C1:C1048576" xr:uid="{FD6C54E1-B645-43FA-AA68-8762A6740D0B}">
      <formula1>"LONG, SHORT"</formula1>
    </dataValidation>
    <dataValidation type="list" showInputMessage="1" showErrorMessage="1" sqref="B2:B1048576" xr:uid="{C4A5500D-B3CB-4BC5-8D36-EF12F5BEFCC4}">
      <formula1>"GBPUSD"</formula1>
    </dataValidation>
    <dataValidation type="date" allowBlank="1" showInputMessage="1" showErrorMessage="1" sqref="A2:A1048576" xr:uid="{60A4B382-454E-4365-9DAA-3FBB735E0125}">
      <formula1>38353</formula1>
      <formula2>45291</formula2>
    </dataValidation>
    <dataValidation type="list" showInputMessage="1" showErrorMessage="1" sqref="J4" xr:uid="{D959415A-96DD-489A-BB31-D0CE13F33BEC}">
      <formula1>"BREAK &amp; RETEST, LIQUIDITY GRAB (PREV H/L or TRENDLINE)"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DE0E6-3680-482F-8118-7A11E62502A6}">
  <dimension ref="A1:AY47"/>
  <sheetViews>
    <sheetView zoomScale="70" zoomScaleNormal="70" workbookViewId="0">
      <selection activeCell="B2" sqref="B2:B1048576"/>
    </sheetView>
  </sheetViews>
  <sheetFormatPr defaultRowHeight="14.5" x14ac:dyDescent="0.35"/>
  <cols>
    <col min="1" max="1" width="12" style="3" customWidth="1"/>
    <col min="2" max="2" width="9.26953125" style="3" customWidth="1"/>
    <col min="3" max="3" width="10.26953125" style="3" customWidth="1"/>
    <col min="4" max="4" width="11.1796875" style="3" customWidth="1"/>
    <col min="5" max="5" width="15.6328125" style="3" customWidth="1"/>
    <col min="6" max="6" width="8.7265625" style="3"/>
    <col min="7" max="7" width="12.26953125" style="3" customWidth="1"/>
    <col min="8" max="8" width="15.453125" style="3" customWidth="1"/>
    <col min="9" max="9" width="12.08984375" style="3" customWidth="1"/>
    <col min="10" max="10" width="33.81640625" style="3" customWidth="1"/>
    <col min="11" max="11" width="16.90625" style="3" customWidth="1"/>
    <col min="12" max="12" width="15.90625" style="3" customWidth="1"/>
    <col min="13" max="13" width="11.54296875" style="3" customWidth="1"/>
    <col min="14" max="16" width="8.7265625" style="3"/>
    <col min="17" max="17" width="14.26953125" style="3" customWidth="1"/>
    <col min="18" max="18" width="36.453125" style="3" customWidth="1"/>
    <col min="19" max="19" width="39" style="3" customWidth="1"/>
    <col min="20" max="20" width="8.7265625" style="3"/>
    <col min="21" max="21" width="15.90625" style="1" customWidth="1"/>
    <col min="22" max="22" width="12.81640625" style="1" customWidth="1"/>
    <col min="23" max="24" width="8.7265625" style="1"/>
    <col min="25" max="25" width="11.6328125" style="1" customWidth="1"/>
    <col min="26" max="26" width="14.90625" style="1" customWidth="1"/>
    <col min="27" max="27" width="18.6328125" style="3" customWidth="1"/>
    <col min="28" max="28" width="35.90625" style="1" customWidth="1"/>
    <col min="29" max="29" width="18.36328125" style="1" customWidth="1"/>
    <col min="30" max="30" width="10.90625" style="1" customWidth="1"/>
    <col min="31" max="31" width="12.26953125" style="1" customWidth="1"/>
    <col min="32" max="32" width="12.6328125" style="1" customWidth="1"/>
    <col min="33" max="35" width="8.7265625" style="3"/>
    <col min="36" max="36" width="17.453125" style="1" customWidth="1"/>
    <col min="37" max="40" width="8.7265625" style="1"/>
    <col min="41" max="41" width="15.6328125" style="1" customWidth="1"/>
    <col min="42" max="16384" width="8.7265625" style="3"/>
  </cols>
  <sheetData>
    <row r="1" spans="1:51" x14ac:dyDescent="0.35">
      <c r="A1" s="1" t="s">
        <v>54</v>
      </c>
      <c r="B1" s="1" t="s">
        <v>0</v>
      </c>
      <c r="C1" s="1" t="s">
        <v>1</v>
      </c>
      <c r="D1" s="1" t="s">
        <v>2</v>
      </c>
      <c r="E1" s="1" t="s">
        <v>55</v>
      </c>
      <c r="F1" s="1" t="s">
        <v>3</v>
      </c>
      <c r="G1" s="1" t="s">
        <v>8</v>
      </c>
      <c r="H1" s="1" t="s">
        <v>52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15</v>
      </c>
      <c r="R1" s="1" t="s">
        <v>13</v>
      </c>
      <c r="S1" s="1" t="s">
        <v>14</v>
      </c>
      <c r="T1" s="5"/>
      <c r="U1" s="4"/>
      <c r="V1" s="4"/>
      <c r="W1" s="4"/>
      <c r="X1" s="4"/>
      <c r="Y1" s="4"/>
      <c r="Z1" s="4"/>
      <c r="AA1" s="5"/>
      <c r="AB1" s="4"/>
      <c r="AC1" s="4"/>
      <c r="AD1" s="4"/>
      <c r="AE1" s="4"/>
      <c r="AF1" s="4"/>
      <c r="AG1" s="5"/>
      <c r="AH1" s="5"/>
      <c r="AI1" s="5"/>
      <c r="AJ1" s="4"/>
      <c r="AK1" s="4"/>
      <c r="AL1" s="4"/>
      <c r="AM1" s="4"/>
      <c r="AN1" s="4"/>
      <c r="AO1" s="4"/>
      <c r="AP1" s="5"/>
      <c r="AQ1" s="5"/>
      <c r="AR1" s="5"/>
      <c r="AS1" s="5"/>
      <c r="AT1" s="5"/>
      <c r="AU1" s="5"/>
      <c r="AV1" s="5"/>
      <c r="AW1" s="5"/>
      <c r="AX1" s="5"/>
      <c r="AY1" s="5"/>
    </row>
    <row r="2" spans="1:51" x14ac:dyDescent="0.35">
      <c r="A2" s="8"/>
      <c r="E2" s="9"/>
      <c r="R2" s="14"/>
      <c r="S2" s="6"/>
      <c r="T2" s="5"/>
      <c r="U2" s="1" t="s">
        <v>27</v>
      </c>
      <c r="V2" s="1" t="s">
        <v>24</v>
      </c>
      <c r="W2" s="4"/>
      <c r="X2" s="4"/>
      <c r="Y2" s="4"/>
      <c r="Z2" s="4"/>
      <c r="AA2" s="5"/>
      <c r="AB2" s="36" t="s">
        <v>38</v>
      </c>
      <c r="AC2" s="36"/>
      <c r="AD2" s="4"/>
      <c r="AE2" s="4"/>
      <c r="AF2" s="4"/>
      <c r="AG2" s="5"/>
      <c r="AH2" s="5"/>
      <c r="AI2" s="5"/>
      <c r="AJ2" s="36" t="s">
        <v>62</v>
      </c>
      <c r="AK2" s="36"/>
      <c r="AL2" s="36"/>
      <c r="AM2" s="36"/>
      <c r="AN2" s="36"/>
      <c r="AP2" s="12"/>
      <c r="AQ2" s="12"/>
      <c r="AR2" s="12"/>
      <c r="AS2" s="12"/>
      <c r="AT2" s="12"/>
      <c r="AU2" s="12"/>
      <c r="AV2" s="12"/>
      <c r="AW2" s="12"/>
      <c r="AX2" s="12"/>
      <c r="AY2" s="5"/>
    </row>
    <row r="3" spans="1:51" x14ac:dyDescent="0.35">
      <c r="E3" s="9"/>
      <c r="R3" s="14"/>
      <c r="S3" s="13"/>
      <c r="T3" s="5"/>
      <c r="U3" s="23" t="s">
        <v>25</v>
      </c>
      <c r="V3" s="23">
        <f>COUNTIF(M2:M1048576,"=WIN")</f>
        <v>0</v>
      </c>
      <c r="W3" s="4"/>
      <c r="X3" s="4"/>
      <c r="Y3" s="4"/>
      <c r="Z3" s="4"/>
      <c r="AA3" s="5"/>
      <c r="AB3" s="24" t="s">
        <v>39</v>
      </c>
      <c r="AC3" s="1" t="e">
        <f>AVERAGE(F2:F1048576)</f>
        <v>#DIV/0!</v>
      </c>
      <c r="AD3" s="4"/>
      <c r="AE3" s="4"/>
      <c r="AF3" s="4"/>
      <c r="AG3" s="5"/>
      <c r="AH3" s="5"/>
      <c r="AI3" s="5"/>
      <c r="AJ3" s="1" t="s">
        <v>63</v>
      </c>
      <c r="AK3" s="36" t="s">
        <v>50</v>
      </c>
      <c r="AL3" s="36"/>
      <c r="AM3" s="36"/>
      <c r="AN3" s="36"/>
      <c r="AO3" s="36"/>
      <c r="AP3" s="12"/>
      <c r="AQ3" s="12"/>
      <c r="AR3" s="12"/>
      <c r="AS3" s="12"/>
      <c r="AT3" s="12"/>
      <c r="AU3" s="12"/>
      <c r="AV3" s="12"/>
      <c r="AW3" s="12"/>
      <c r="AX3" s="12"/>
      <c r="AY3" s="5"/>
    </row>
    <row r="4" spans="1:51" x14ac:dyDescent="0.35">
      <c r="C4" s="18"/>
      <c r="T4" s="5"/>
      <c r="U4" s="24" t="s">
        <v>26</v>
      </c>
      <c r="V4" s="24">
        <f>COUNTIF(M2:M1048576,"=LOSS")</f>
        <v>0</v>
      </c>
      <c r="W4" s="4"/>
      <c r="X4" s="4"/>
      <c r="Y4" s="4"/>
      <c r="Z4" s="4"/>
      <c r="AA4" s="5"/>
      <c r="AB4" s="25" t="s">
        <v>52</v>
      </c>
      <c r="AC4" s="1" t="e">
        <f>AVERAGE(H2:H1048576)</f>
        <v>#DIV/0!</v>
      </c>
      <c r="AD4" s="4"/>
      <c r="AE4" s="4"/>
      <c r="AF4" s="4"/>
      <c r="AG4" s="5"/>
      <c r="AH4" s="5"/>
      <c r="AI4" s="5"/>
      <c r="AK4" s="1" t="s">
        <v>24</v>
      </c>
      <c r="AL4" s="23" t="s">
        <v>58</v>
      </c>
      <c r="AM4" s="24" t="s">
        <v>26</v>
      </c>
      <c r="AN4" s="25" t="s">
        <v>64</v>
      </c>
      <c r="AO4" s="1" t="s">
        <v>51</v>
      </c>
      <c r="AP4" s="12"/>
      <c r="AQ4" s="12"/>
      <c r="AR4" s="12"/>
      <c r="AS4" s="12"/>
      <c r="AT4" s="12"/>
      <c r="AU4" s="12"/>
      <c r="AV4" s="12"/>
      <c r="AW4" s="12"/>
      <c r="AX4" s="12"/>
      <c r="AY4" s="5"/>
    </row>
    <row r="5" spans="1:51" x14ac:dyDescent="0.35">
      <c r="C5" s="17"/>
      <c r="E5" s="10"/>
      <c r="T5" s="5"/>
      <c r="U5" s="25" t="s">
        <v>16</v>
      </c>
      <c r="V5" s="25">
        <f>COUNTIF(M2:M1048576,"=BREAK-EVEN")</f>
        <v>0</v>
      </c>
      <c r="W5" s="1">
        <f>SUM(V3:V5)</f>
        <v>0</v>
      </c>
      <c r="X5" s="4"/>
      <c r="Y5" s="4"/>
      <c r="Z5" s="4"/>
      <c r="AA5" s="5"/>
      <c r="AB5" s="23" t="s">
        <v>53</v>
      </c>
      <c r="AC5" s="1" t="e">
        <f>AVERAGE(G2:G1048576)</f>
        <v>#DIV/0!</v>
      </c>
      <c r="AD5" s="4"/>
      <c r="AE5" s="4"/>
      <c r="AF5" s="4"/>
      <c r="AG5" s="5"/>
      <c r="AH5" s="5"/>
      <c r="AI5" s="5"/>
      <c r="AJ5" s="21" t="s">
        <v>57</v>
      </c>
      <c r="AK5" s="21">
        <f>COUNTIFS(E2:E1048576,"=LONDON",J2:J1048576,"=BREAK &amp; RETEST")</f>
        <v>0</v>
      </c>
      <c r="AL5" s="23">
        <f>COUNTIFS(E2:E1048576,"=LONDON", J2:J1048576,"=BREAK &amp; RETEST",M2:M1048576,"=WIN")</f>
        <v>0</v>
      </c>
      <c r="AM5" s="24">
        <f>COUNTIFS(E2:E1048576,"=LONDON", J2:J1048576,"=BREAK &amp; RETEST",M2:M1048576,"=LOSS")</f>
        <v>0</v>
      </c>
      <c r="AN5" s="25">
        <f>COUNTIFS(E2:E1048576,"=LONDON", J2:J1048576,"=BREAK &amp; RETEST",M2:M1048576,"=BREAK-EVEN")</f>
        <v>0</v>
      </c>
      <c r="AO5" s="1" t="e">
        <f>AL5/AK5*100</f>
        <v>#DIV/0!</v>
      </c>
      <c r="AP5" s="12"/>
      <c r="AQ5" s="12"/>
      <c r="AR5" s="12"/>
      <c r="AS5" s="12"/>
      <c r="AT5" s="12"/>
      <c r="AU5" s="12"/>
      <c r="AV5" s="12"/>
      <c r="AW5" s="12"/>
      <c r="AX5" s="12"/>
      <c r="AY5" s="5"/>
    </row>
    <row r="6" spans="1:51" x14ac:dyDescent="0.35">
      <c r="A6" s="8"/>
      <c r="E6" s="10"/>
      <c r="T6" s="5"/>
      <c r="U6" s="4"/>
      <c r="V6" s="4"/>
      <c r="W6" s="4"/>
      <c r="X6" s="4"/>
      <c r="Y6" s="4"/>
      <c r="Z6" s="4"/>
      <c r="AA6" s="5"/>
      <c r="AB6" s="4"/>
      <c r="AC6" s="4"/>
      <c r="AD6" s="4"/>
      <c r="AE6" s="4"/>
      <c r="AF6" s="4"/>
      <c r="AG6" s="5"/>
      <c r="AH6" s="5"/>
      <c r="AI6" s="5"/>
      <c r="AJ6" s="22" t="s">
        <v>56</v>
      </c>
      <c r="AK6" s="22">
        <f>COUNTIFS(E2:E1048576,"=NEW YORK",J2:J1048576,"=BREAK &amp; RETEST")</f>
        <v>0</v>
      </c>
      <c r="AL6" s="23">
        <f>COUNTIFS(E2:E1048576,"=NEW YORK", J2:J1048576,"=BREAK &amp; RETEST",M2:M1048576,"=WIN")</f>
        <v>0</v>
      </c>
      <c r="AM6" s="24">
        <f>COUNTIFS(E2:E1048576,"=NEW YORK", J2:J1048576,"=BREAK &amp; RETEST",M2:M1048576,"=LOSS")</f>
        <v>0</v>
      </c>
      <c r="AN6" s="25">
        <f>COUNTIFS(E2:E1048576,"=NEW YORK", J2:J1048576,"=BREAK &amp; RETEST",M2:M1048576,"=BREAK-EVEN")</f>
        <v>0</v>
      </c>
      <c r="AO6" s="1" t="e">
        <f>AL6/AK6*100</f>
        <v>#DIV/0!</v>
      </c>
      <c r="AP6" s="12"/>
      <c r="AQ6" s="12"/>
      <c r="AR6" s="12"/>
      <c r="AS6" s="12"/>
      <c r="AT6" s="12"/>
      <c r="AU6" s="12"/>
      <c r="AV6" s="12"/>
      <c r="AW6" s="12"/>
      <c r="AX6" s="12"/>
      <c r="AY6" s="5"/>
    </row>
    <row r="7" spans="1:51" x14ac:dyDescent="0.35">
      <c r="T7" s="5"/>
      <c r="U7" s="1" t="s">
        <v>51</v>
      </c>
      <c r="V7" s="1" t="e">
        <f>V3/W5*100</f>
        <v>#DIV/0!</v>
      </c>
      <c r="W7" s="4"/>
      <c r="X7" s="4"/>
      <c r="Y7" s="4"/>
      <c r="Z7" s="4"/>
      <c r="AA7" s="5"/>
      <c r="AB7" s="1" t="s">
        <v>35</v>
      </c>
      <c r="AC7" s="1" t="s">
        <v>24</v>
      </c>
      <c r="AD7" s="23" t="s">
        <v>25</v>
      </c>
      <c r="AE7" s="24" t="s">
        <v>26</v>
      </c>
      <c r="AF7" s="25" t="s">
        <v>16</v>
      </c>
      <c r="AG7" s="5"/>
      <c r="AH7" s="5"/>
      <c r="AI7" s="5"/>
      <c r="AJ7" s="1" t="s">
        <v>69</v>
      </c>
      <c r="AK7" s="1">
        <f>COUNTIFS(E2:E1048576,"=ASIAN",J2:J1048576,"=BREAK &amp; RETEST")</f>
        <v>0</v>
      </c>
      <c r="AL7" s="23">
        <f>COUNTIFS(E2:E1048576,"=ASIAN", J2:J1048576,"=BREAK &amp; RETEST",M2:M1048576,"=WIN")</f>
        <v>0</v>
      </c>
      <c r="AM7" s="24">
        <f>COUNTIFS(E2:E1048576,"=ASIAN", J2:J1048576,"=BREAK &amp; RETEST",M2:M1048576,"=LOSS")</f>
        <v>0</v>
      </c>
      <c r="AN7" s="25">
        <f>COUNTIFS(E2:E1048576,"=ASIAN", J2:J1048576,"=BREAK &amp; RETEST",M2:M1048576,"=BREAK-EVEN")</f>
        <v>0</v>
      </c>
      <c r="AO7" s="1" t="e">
        <f>AL7/AK7*100</f>
        <v>#DIV/0!</v>
      </c>
      <c r="AP7" s="12"/>
      <c r="AQ7" s="12"/>
      <c r="AR7" s="12"/>
      <c r="AS7" s="12"/>
      <c r="AT7" s="12"/>
      <c r="AU7" s="12"/>
      <c r="AV7" s="12"/>
      <c r="AW7" s="12"/>
      <c r="AX7" s="12"/>
      <c r="AY7" s="5"/>
    </row>
    <row r="8" spans="1:51" x14ac:dyDescent="0.35">
      <c r="T8" s="5"/>
      <c r="U8" s="4"/>
      <c r="V8" s="4"/>
      <c r="W8" s="4"/>
      <c r="X8" s="4"/>
      <c r="Y8" s="4"/>
      <c r="Z8" s="4"/>
      <c r="AA8" s="5"/>
      <c r="AB8" s="1" t="s">
        <v>50</v>
      </c>
      <c r="AC8" s="1">
        <f>COUNTIF(J2:J1048576,"=BREAK &amp; RETEST")</f>
        <v>0</v>
      </c>
      <c r="AD8" s="23">
        <f>COUNTIFS(J2:J1048576,"=BREAK &amp; RETEST",M2:M1048576,"=WIN")</f>
        <v>0</v>
      </c>
      <c r="AE8" s="24">
        <f>COUNTIFS(J2:J1048576,"=BREAK &amp; RETEST",M2:M1048576,"=LOSS")</f>
        <v>0</v>
      </c>
      <c r="AF8" s="25">
        <f>COUNTIFS(J2:J1048576,"=BREAK &amp; RETEST",M2:M1048576,"=BREAK-EVEN")</f>
        <v>0</v>
      </c>
      <c r="AG8" s="5"/>
      <c r="AH8" s="5"/>
      <c r="AI8" s="5"/>
      <c r="AP8" s="12"/>
      <c r="AQ8" s="12"/>
      <c r="AR8" s="12"/>
      <c r="AS8" s="12"/>
      <c r="AT8" s="12"/>
      <c r="AU8" s="12"/>
      <c r="AV8" s="12"/>
      <c r="AW8" s="12"/>
      <c r="AX8" s="12"/>
      <c r="AY8" s="5"/>
    </row>
    <row r="9" spans="1:51" x14ac:dyDescent="0.35">
      <c r="A9" s="8"/>
      <c r="T9" s="5"/>
      <c r="U9" s="1" t="s">
        <v>1</v>
      </c>
      <c r="V9" s="1" t="s">
        <v>24</v>
      </c>
      <c r="W9" s="23" t="s">
        <v>25</v>
      </c>
      <c r="X9" s="24" t="s">
        <v>26</v>
      </c>
      <c r="Y9" s="25" t="s">
        <v>16</v>
      </c>
      <c r="Z9" s="4"/>
      <c r="AA9" s="5"/>
      <c r="AB9" s="1" t="s">
        <v>70</v>
      </c>
      <c r="AC9" s="1">
        <f>COUNTIF(J2:J1048576,"=LIQUIDITY GRAB (PREV H/L or TRENDLINE)")</f>
        <v>0</v>
      </c>
      <c r="AD9" s="23">
        <f>COUNTIFS(J2:J1048576,"=LIQUIDITY GRAB (PREV H/L or TRENDLINE)",M2:M1048576,"=WIN")</f>
        <v>0</v>
      </c>
      <c r="AE9" s="24">
        <f>COUNTIFS(J2:J1048576,"=LIQUIDITY GRAB (PREV H/L or TRENDLINE)",M2:M1048576,"=LOSS")</f>
        <v>0</v>
      </c>
      <c r="AF9" s="25">
        <f>COUNTIFS(J2:J1048576,"=LIQUIDITY GRAB (PREV H/L or TRENDLINE)",M2:M1048576,"=BREAK-EVEN")</f>
        <v>0</v>
      </c>
      <c r="AG9" s="5"/>
      <c r="AH9" s="5"/>
      <c r="AI9" s="5"/>
      <c r="AJ9" s="1" t="s">
        <v>63</v>
      </c>
      <c r="AK9" s="36" t="s">
        <v>70</v>
      </c>
      <c r="AL9" s="36"/>
      <c r="AM9" s="36"/>
      <c r="AN9" s="36"/>
      <c r="AO9" s="36"/>
      <c r="AP9" s="12"/>
      <c r="AQ9" s="12"/>
      <c r="AR9" s="12"/>
      <c r="AS9" s="12"/>
      <c r="AT9" s="12"/>
      <c r="AU9" s="12"/>
      <c r="AV9" s="12"/>
      <c r="AW9" s="12"/>
      <c r="AX9" s="12"/>
      <c r="AY9" s="5"/>
    </row>
    <row r="10" spans="1:51" x14ac:dyDescent="0.35">
      <c r="A10" s="8"/>
      <c r="T10" s="5"/>
      <c r="U10" s="19" t="s">
        <v>23</v>
      </c>
      <c r="V10" s="19">
        <f>COUNTIF(C2:C1048576,"=LONG")</f>
        <v>0</v>
      </c>
      <c r="W10" s="23">
        <f>COUNTIFS(C2:C1048576,"=LONG",M2:M1048576,"=WIN")</f>
        <v>0</v>
      </c>
      <c r="X10" s="24">
        <f>COUNTIFS(C2:C1048576,"=LONG",M2:M1048576,"=LOSS")</f>
        <v>0</v>
      </c>
      <c r="Y10" s="25">
        <f>COUNTIFS(C2:C1048576,"=LONG",M2:M1048576,"=BREAK-EVEN")</f>
        <v>0</v>
      </c>
      <c r="Z10" s="4"/>
      <c r="AA10" s="5"/>
      <c r="AB10" s="4"/>
      <c r="AC10" s="4"/>
      <c r="AD10" s="4"/>
      <c r="AE10" s="4"/>
      <c r="AF10" s="4"/>
      <c r="AG10" s="5"/>
      <c r="AH10" s="5"/>
      <c r="AI10" s="5"/>
      <c r="AJ10" s="21" t="s">
        <v>57</v>
      </c>
      <c r="AK10" s="21">
        <f>COUNTIFS(E2:E1048576,"=LONDON",J2:J1048576,"=LIQUIDITY GRAB (PREV H/L or TRENDLINE)")</f>
        <v>0</v>
      </c>
      <c r="AL10" s="23">
        <f>COUNTIFS(E2:E1048576,"=LONDON", J2:J1048576,"=LIQUIDITY GRAB (PREV H/L or TRENDLINE)",M2:M1048576,"=WIN")</f>
        <v>0</v>
      </c>
      <c r="AM10" s="24">
        <f>COUNTIFS(E2:E1048576,"=LONDON", J2:J1048576,"=LIQUIDITY GRAB (PREV H/L or TRENDLINE)",M2:M1048576,"=LOSS")</f>
        <v>0</v>
      </c>
      <c r="AN10" s="25">
        <f>COUNTIFS(E2:E1048576,"=LONDON", J2:J1048576,"=LIQUIDITY GRAB (PREV H/L or TRENDLINE)",M2:M1048576,"=BREAK-EVEN")</f>
        <v>0</v>
      </c>
      <c r="AO10" s="1" t="e">
        <f>AL10/AK10*100</f>
        <v>#DIV/0!</v>
      </c>
      <c r="AP10" s="12"/>
      <c r="AQ10" s="12"/>
      <c r="AR10" s="12"/>
      <c r="AS10" s="12"/>
      <c r="AT10" s="12"/>
      <c r="AU10" s="12"/>
      <c r="AV10" s="12"/>
      <c r="AW10" s="12"/>
      <c r="AX10" s="12"/>
      <c r="AY10" s="5"/>
    </row>
    <row r="11" spans="1:51" x14ac:dyDescent="0.35">
      <c r="T11" s="5"/>
      <c r="U11" s="20" t="s">
        <v>28</v>
      </c>
      <c r="V11" s="20">
        <f>COUNTIF(C2:C1048576,"=SHORT")</f>
        <v>0</v>
      </c>
      <c r="W11" s="23">
        <f>COUNTIFS(C2:C1048576,"=SHORT",M2:M1048576,"=WIN")</f>
        <v>0</v>
      </c>
      <c r="X11" s="24">
        <f>COUNTIFS(C2:C1048576,"=SHORT",M2:M1048576,"=LOSS")</f>
        <v>0</v>
      </c>
      <c r="Y11" s="25">
        <f>COUNTIFS(C2:C1048576,"=SHORT",M2:M1048576,"=BREAK-EVEN")</f>
        <v>0</v>
      </c>
      <c r="Z11" s="1">
        <f>SUM(V10:V11)</f>
        <v>0</v>
      </c>
      <c r="AA11" s="5"/>
      <c r="AB11" s="1" t="s">
        <v>6</v>
      </c>
      <c r="AC11" s="1" t="s">
        <v>24</v>
      </c>
      <c r="AD11" s="23" t="s">
        <v>25</v>
      </c>
      <c r="AE11" s="24" t="s">
        <v>26</v>
      </c>
      <c r="AF11" s="25" t="s">
        <v>16</v>
      </c>
      <c r="AG11" s="5"/>
      <c r="AH11" s="5"/>
      <c r="AI11" s="5"/>
      <c r="AJ11" s="22" t="s">
        <v>56</v>
      </c>
      <c r="AK11" s="22">
        <f>COUNTIFS(E2:E1048576,"=NEW YORK",J2:J1048576,"=LIQUIDITY GRAB (PREV H/L or TRENDLINE)")</f>
        <v>0</v>
      </c>
      <c r="AL11" s="23">
        <f>COUNTIFS(E2:E1048576,"=NEW YORK", J2:J1048576,"=LIQUIDITY GRAB (PREV H/L or TRENDLINE)",M2:M1048576,"=WIN")</f>
        <v>0</v>
      </c>
      <c r="AM11" s="24">
        <f>COUNTIFS(E2:E1048576,"=NEW YORK", J2:J1048576,"=LIQUIDITY GRAB (PREV H/L or TRENDLINE)",M2:M1048576,"=LOSS")</f>
        <v>0</v>
      </c>
      <c r="AN11" s="25">
        <f>COUNTIFS(E2:E1048576,"=NEW YORK", J2:J1048576,"=LIQUIDITY GRAB (PREV H/L or TRENDLINE)",M2:M1048576,"=BREAK-EVEN")</f>
        <v>0</v>
      </c>
      <c r="AO11" s="1" t="e">
        <f>AL11/AK11*100</f>
        <v>#DIV/0!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5"/>
    </row>
    <row r="12" spans="1:51" x14ac:dyDescent="0.35">
      <c r="T12" s="5"/>
      <c r="U12" s="4"/>
      <c r="V12" s="4"/>
      <c r="W12" s="4"/>
      <c r="X12" s="4"/>
      <c r="Y12" s="4"/>
      <c r="Z12" s="4"/>
      <c r="AA12" s="5"/>
      <c r="AB12" s="1" t="s">
        <v>19</v>
      </c>
      <c r="AC12" s="1">
        <f>COUNTIF(K2:K1048576,"=ORDER BLOCK")</f>
        <v>0</v>
      </c>
      <c r="AD12" s="23">
        <f>COUNTIFS(K2:K1048576,"=ORDER BLOCK",M2:M1048576,"=WIN")</f>
        <v>0</v>
      </c>
      <c r="AE12" s="24">
        <f>COUNTIFS(K2:K1048576,"=ORDER BLOCK",M2:M1048576,"=LOSS")</f>
        <v>0</v>
      </c>
      <c r="AF12" s="25">
        <f>COUNTIFS(K2:K1048576,"=ORDER BLOCK",M2:M1048576,"=BREAK-EVEN")</f>
        <v>0</v>
      </c>
      <c r="AG12" s="5"/>
      <c r="AH12" s="5"/>
      <c r="AI12" s="5"/>
      <c r="AJ12" s="1" t="s">
        <v>69</v>
      </c>
      <c r="AK12" s="1">
        <f>COUNTIFS(E2:E1048576,"=ASIAN",J2:J1048576,"=LIQUIDITY GRAB (PREV H/L or TRENDLINE)")</f>
        <v>0</v>
      </c>
      <c r="AL12" s="23">
        <f>COUNTIFS(E2:E1048576,"=ASIAN", J2:J1048576,"=LIQUIDITY GRAB (PREV H/L or TRENDLINE)",M2:M1048576,"=WIN")</f>
        <v>0</v>
      </c>
      <c r="AM12" s="24">
        <f>COUNTIFS(E2:E1048576,"=ASIAN", J2:J1048576,"=LIQUIDITY GRAB (PREV H/L or TRENDLINE)",M2:M1048576,"=LOSS")</f>
        <v>0</v>
      </c>
      <c r="AN12" s="25">
        <f>COUNTIFS(E2:E1048576,"=ASIAN", J2:J1048576,"=LIQUIDITY GRAB (PREV H/L or TRENDLINE)",M2:M1048576,"=BREAK-EVEN")</f>
        <v>0</v>
      </c>
      <c r="AO12" s="1" t="e">
        <f>AL12/AK12*100</f>
        <v>#DIV/0!</v>
      </c>
      <c r="AP12" s="12"/>
      <c r="AQ12" s="12"/>
      <c r="AR12" s="12"/>
      <c r="AS12" s="12"/>
      <c r="AT12" s="12"/>
      <c r="AU12" s="12"/>
      <c r="AV12" s="12"/>
      <c r="AW12" s="12"/>
      <c r="AX12" s="12"/>
      <c r="AY12" s="5"/>
    </row>
    <row r="13" spans="1:51" x14ac:dyDescent="0.35">
      <c r="T13" s="5"/>
      <c r="U13" s="1" t="s">
        <v>29</v>
      </c>
      <c r="V13" s="1" t="s">
        <v>24</v>
      </c>
      <c r="W13" s="23" t="s">
        <v>25</v>
      </c>
      <c r="X13" s="24" t="s">
        <v>26</v>
      </c>
      <c r="Y13" s="25" t="s">
        <v>16</v>
      </c>
      <c r="Z13" s="4"/>
      <c r="AA13" s="5"/>
      <c r="AB13" s="1" t="s">
        <v>48</v>
      </c>
      <c r="AC13" s="1">
        <f>COUNTIF(K2:K1048576,"=BREAKER BLOCK")</f>
        <v>0</v>
      </c>
      <c r="AD13" s="23">
        <f>COUNTIFS(K2:K1048576,"=BREAKER BLOCK",M2:M1048576,"=WIN")</f>
        <v>0</v>
      </c>
      <c r="AE13" s="24">
        <f>COUNTIFS(K2:K1048576,"=BREAKER BLOCK",M2:M1048576,"=LOSS")</f>
        <v>0</v>
      </c>
      <c r="AF13" s="25">
        <f>COUNTIFS(K2:K1048576,"=BREAKER BLOCK",M2:M1048576,"=BREAK-EVEN")</f>
        <v>0</v>
      </c>
      <c r="AG13" s="5"/>
      <c r="AH13" s="5"/>
      <c r="AI13" s="5"/>
      <c r="AP13" s="12"/>
      <c r="AQ13" s="12"/>
      <c r="AR13" s="12"/>
      <c r="AS13" s="12"/>
      <c r="AT13" s="12"/>
      <c r="AU13" s="12"/>
      <c r="AV13" s="12"/>
      <c r="AW13" s="12"/>
      <c r="AX13" s="12"/>
      <c r="AY13" s="5"/>
    </row>
    <row r="14" spans="1:51" x14ac:dyDescent="0.35">
      <c r="T14" s="5"/>
      <c r="U14" s="1" t="s">
        <v>21</v>
      </c>
      <c r="V14" s="1">
        <f>COUNTIF(D2:D1048576,"=MONDAY")</f>
        <v>0</v>
      </c>
      <c r="W14" s="23">
        <f>COUNTIFS(D2:D1048576,"=MONDAY",M2:M1048576,"=WIN")</f>
        <v>0</v>
      </c>
      <c r="X14" s="24">
        <f>COUNTIFS(D2:D1048576,"=MONDAY",M2:M1048576,"=LOSS")</f>
        <v>0</v>
      </c>
      <c r="Y14" s="25">
        <f>COUNTIFS(D2:D1048576,"=MONDAY",M2:M1048576,"=BREAK-EVEN")</f>
        <v>0</v>
      </c>
      <c r="Z14" s="4"/>
      <c r="AA14" s="5"/>
      <c r="AB14" s="1" t="s">
        <v>49</v>
      </c>
      <c r="AC14" s="1">
        <f>COUNTIF(K2:K1048576,"=FVG/IMB")</f>
        <v>0</v>
      </c>
      <c r="AD14" s="23">
        <f>COUNTIFS(K2:K1048576,"=FVG/IMB",M2:M1048576,"=WIN")</f>
        <v>0</v>
      </c>
      <c r="AE14" s="24">
        <f>COUNTIFS(K2:K1048576,"=FVG/IMB",M2:M1048576,"=LOSS")</f>
        <v>0</v>
      </c>
      <c r="AF14" s="25">
        <f>COUNTIFS(K2:K1048576,"=FVG/IMB",M2:M1048576,"=BREAK-EVEN")</f>
        <v>0</v>
      </c>
      <c r="AG14" s="5"/>
      <c r="AH14" s="5"/>
      <c r="AI14" s="5"/>
      <c r="AP14" s="12"/>
      <c r="AQ14" s="12"/>
      <c r="AR14" s="12"/>
      <c r="AS14" s="12"/>
      <c r="AT14" s="12"/>
      <c r="AU14" s="12"/>
      <c r="AV14" s="12"/>
      <c r="AW14" s="12"/>
      <c r="AX14" s="12"/>
      <c r="AY14" s="5"/>
    </row>
    <row r="15" spans="1:51" x14ac:dyDescent="0.35">
      <c r="T15" s="5"/>
      <c r="U15" s="1" t="s">
        <v>30</v>
      </c>
      <c r="V15" s="1">
        <f>COUNTIF(D2:D1048576,"=TUESDAY")</f>
        <v>0</v>
      </c>
      <c r="W15" s="23">
        <f>COUNTIFS(D2:D1048576,"=TUESDAY",M2:M1048576,"=WIN")</f>
        <v>0</v>
      </c>
      <c r="X15" s="24">
        <f>COUNTIFS(D2:D1048576,"=TUESDAY",M2:M1048576,"=LOSS")</f>
        <v>0</v>
      </c>
      <c r="Y15" s="25">
        <f>COUNTIFS(D2:D1048576,"=TUESDAY",M2:M1048576,"=BREAK-EVEN")</f>
        <v>0</v>
      </c>
      <c r="Z15" s="4"/>
      <c r="AA15" s="5"/>
      <c r="AB15" s="4"/>
      <c r="AC15" s="4"/>
      <c r="AD15" s="4"/>
      <c r="AE15" s="4"/>
      <c r="AF15" s="4"/>
      <c r="AG15" s="5"/>
      <c r="AH15" s="5"/>
      <c r="AI15" s="5"/>
      <c r="AJ15" s="36" t="s">
        <v>65</v>
      </c>
      <c r="AK15" s="36"/>
      <c r="AL15" s="36"/>
      <c r="AM15" s="36"/>
      <c r="AN15" s="36"/>
      <c r="AO15" s="36"/>
      <c r="AP15" s="12"/>
      <c r="AQ15" s="12"/>
      <c r="AR15" s="12"/>
      <c r="AS15" s="12"/>
      <c r="AT15" s="12"/>
      <c r="AU15" s="12"/>
      <c r="AV15" s="12"/>
      <c r="AW15" s="12"/>
      <c r="AX15" s="12"/>
      <c r="AY15" s="5"/>
    </row>
    <row r="16" spans="1:51" x14ac:dyDescent="0.35">
      <c r="T16" s="5"/>
      <c r="U16" s="1" t="s">
        <v>22</v>
      </c>
      <c r="V16" s="1">
        <f>COUNTIF(D2:D1048576,"WEDNESDAY")</f>
        <v>0</v>
      </c>
      <c r="W16" s="23">
        <f>COUNTIFS(D2:D1048576,"=WEDNESDAY",M2:M1048576,"=WIN")</f>
        <v>0</v>
      </c>
      <c r="X16" s="24">
        <f>COUNTIFS(D2:D1048576,"=WEDNESDAY",M2:M1048576,"=LOSS")</f>
        <v>0</v>
      </c>
      <c r="Y16" s="25">
        <f>COUNTIFS(D2:D1048576,"=WEDNESDAY",M2:M1048576,"=BREAK-EVEN")</f>
        <v>0</v>
      </c>
      <c r="Z16" s="4"/>
      <c r="AA16" s="5"/>
      <c r="AB16" s="4"/>
      <c r="AC16" s="4"/>
      <c r="AD16" s="4"/>
      <c r="AE16" s="4"/>
      <c r="AF16" s="4"/>
      <c r="AG16" s="5"/>
      <c r="AH16" s="5"/>
      <c r="AI16" s="5"/>
      <c r="AJ16" s="1" t="s">
        <v>67</v>
      </c>
      <c r="AK16" s="36" t="s">
        <v>66</v>
      </c>
      <c r="AL16" s="36"/>
      <c r="AM16" s="36"/>
      <c r="AN16" s="36"/>
      <c r="AO16" s="36"/>
      <c r="AP16" s="12"/>
      <c r="AQ16" s="12"/>
      <c r="AR16" s="12"/>
      <c r="AS16" s="12"/>
      <c r="AT16" s="12"/>
      <c r="AU16" s="12"/>
      <c r="AV16" s="12"/>
      <c r="AW16" s="12"/>
      <c r="AX16" s="12"/>
      <c r="AY16" s="5"/>
    </row>
    <row r="17" spans="20:51" x14ac:dyDescent="0.35">
      <c r="T17" s="5"/>
      <c r="U17" s="1" t="s">
        <v>31</v>
      </c>
      <c r="V17" s="1">
        <f>COUNTIF(D2:D1048576,"=THURSDAY")</f>
        <v>0</v>
      </c>
      <c r="W17" s="23">
        <f>COUNTIFS(D2:D1048576,"=THURSDAY",M2:M1048576,"=WIN")</f>
        <v>0</v>
      </c>
      <c r="X17" s="24">
        <f>COUNTIFS(D2:D1048576,"=THURSDAY",M2:M1048576,"=LOSS")</f>
        <v>0</v>
      </c>
      <c r="Y17" s="25">
        <f>COUNTIFS(D2:D1048576,"=THURSDAY",M2:M1048576,"=BREAK-EVEN")</f>
        <v>0</v>
      </c>
      <c r="Z17" s="4"/>
      <c r="AA17" s="5"/>
      <c r="AB17" s="4"/>
      <c r="AC17" s="4"/>
      <c r="AD17" s="4"/>
      <c r="AE17" s="4"/>
      <c r="AF17" s="4"/>
      <c r="AG17" s="5"/>
      <c r="AH17" s="5"/>
      <c r="AI17" s="5"/>
      <c r="AK17" s="1" t="s">
        <v>24</v>
      </c>
      <c r="AL17" s="1" t="s">
        <v>58</v>
      </c>
      <c r="AM17" s="1" t="s">
        <v>26</v>
      </c>
      <c r="AN17" s="1" t="s">
        <v>64</v>
      </c>
      <c r="AO17" s="1" t="s">
        <v>51</v>
      </c>
      <c r="AP17" s="12"/>
      <c r="AQ17" s="12"/>
      <c r="AR17" s="12"/>
      <c r="AS17" s="12"/>
      <c r="AT17" s="12"/>
      <c r="AU17" s="12"/>
      <c r="AV17" s="12"/>
      <c r="AW17" s="12"/>
      <c r="AX17" s="12"/>
      <c r="AY17" s="5"/>
    </row>
    <row r="18" spans="20:51" x14ac:dyDescent="0.35">
      <c r="T18" s="5"/>
      <c r="U18" s="1" t="s">
        <v>32</v>
      </c>
      <c r="V18" s="1">
        <f>COUNTIF(D2:D1048576,"=FRIDAY")</f>
        <v>0</v>
      </c>
      <c r="W18" s="23">
        <f>COUNTIFS(D2:D1048576,"=FRIDAY",M2:M1048576,"=WIN")</f>
        <v>0</v>
      </c>
      <c r="X18" s="24">
        <f>COUNTIFS(D2:D1048576,"=FRIDAY",M2:M1048576,"=LOSS")</f>
        <v>0</v>
      </c>
      <c r="Y18" s="25">
        <f>COUNTIFS(D2:D1048576,"=FRIDAY",M2:M1048576,"=BREAK-EVEN")</f>
        <v>0</v>
      </c>
      <c r="Z18" s="1">
        <f>SUM(V14:V18)</f>
        <v>0</v>
      </c>
      <c r="AA18" s="5"/>
      <c r="AB18" s="1" t="s">
        <v>36</v>
      </c>
      <c r="AC18" s="1" t="s">
        <v>24</v>
      </c>
      <c r="AD18" s="4"/>
      <c r="AE18" s="4"/>
      <c r="AF18" s="4"/>
      <c r="AG18" s="5"/>
      <c r="AH18" s="5"/>
      <c r="AI18" s="5"/>
      <c r="AJ18" s="21" t="s">
        <v>57</v>
      </c>
      <c r="AK18" s="21">
        <f>COUNTIFS(E:E,"=LONDON",K:K,"=ORDER BLOCK")</f>
        <v>0</v>
      </c>
      <c r="AL18" s="23">
        <f>COUNTIFS(E:E,"=LONDON",K:K,"=ORDER BLOCK", M:M,"=WIN")</f>
        <v>0</v>
      </c>
      <c r="AM18" s="24">
        <f>COUNTIFS(E:E,"=LONDON",K:K,"=ORDER BLOCK", M:M,"=LOSS")</f>
        <v>0</v>
      </c>
      <c r="AN18" s="25">
        <f>COUNTIFS(E:E,"=LONDON",K:K,"=ORDER BLOCK", M:M,"=BREAK-EVEN")</f>
        <v>0</v>
      </c>
      <c r="AO18" s="1" t="e">
        <f>AL18/AK18*100</f>
        <v>#DIV/0!</v>
      </c>
      <c r="AP18" s="12"/>
      <c r="AQ18" s="12"/>
      <c r="AR18" s="12"/>
      <c r="AS18" s="12"/>
      <c r="AT18" s="12"/>
      <c r="AU18" s="12"/>
      <c r="AV18" s="12"/>
      <c r="AW18" s="12"/>
      <c r="AX18" s="12"/>
      <c r="AY18" s="5"/>
    </row>
    <row r="19" spans="20:51" x14ac:dyDescent="0.35">
      <c r="T19" s="5"/>
      <c r="U19" s="4"/>
      <c r="V19" s="4"/>
      <c r="W19" s="4"/>
      <c r="X19" s="4"/>
      <c r="Y19" s="4"/>
      <c r="Z19" s="4"/>
      <c r="AA19" s="5"/>
      <c r="AB19" s="1" t="s">
        <v>18</v>
      </c>
      <c r="AC19" s="1">
        <f>COUNTIF(L2:L1048576,"=1 MIN")</f>
        <v>0</v>
      </c>
      <c r="AD19" s="4"/>
      <c r="AE19" s="4"/>
      <c r="AF19" s="4"/>
      <c r="AG19" s="5"/>
      <c r="AH19" s="5"/>
      <c r="AI19" s="5"/>
      <c r="AJ19" s="22" t="s">
        <v>56</v>
      </c>
      <c r="AK19" s="22">
        <f>COUNTIFS(E:E,"=NEW YORK",K:K,"=ORDER BLOCK")</f>
        <v>0</v>
      </c>
      <c r="AL19" s="23">
        <f>COUNTIFS(E:E,"=NEW YORK",K:K,"=ORDER BLOCK", M:M,"=WIN")</f>
        <v>0</v>
      </c>
      <c r="AM19" s="24">
        <f>COUNTIFS(E:E,"=NEW YORK",K:K,"=ORDER BLOCK", M:M,"=LOSS")</f>
        <v>0</v>
      </c>
      <c r="AN19" s="25">
        <f>COUNTIFS(E:E,"=NEW YORK",K:K,"=ORDER BLOCK", M:M,"=BREAK-EVEN")</f>
        <v>0</v>
      </c>
      <c r="AO19" s="1" t="e">
        <f>AL19/AK19*100</f>
        <v>#DIV/0!</v>
      </c>
      <c r="AP19" s="12"/>
      <c r="AQ19" s="12"/>
      <c r="AR19" s="12"/>
      <c r="AS19" s="12"/>
      <c r="AT19" s="12"/>
      <c r="AU19" s="12"/>
      <c r="AV19" s="12"/>
      <c r="AW19" s="12"/>
      <c r="AX19" s="12"/>
      <c r="AY19" s="5"/>
    </row>
    <row r="20" spans="20:51" x14ac:dyDescent="0.35">
      <c r="T20" s="5"/>
      <c r="U20" s="4"/>
      <c r="V20" s="4"/>
      <c r="W20" s="4"/>
      <c r="X20" s="4"/>
      <c r="Y20" s="4"/>
      <c r="Z20" s="4"/>
      <c r="AA20" s="5"/>
      <c r="AB20" s="1" t="s">
        <v>44</v>
      </c>
      <c r="AC20" s="1">
        <f>COUNTIF(L2:L1048576,"=3 MIN")</f>
        <v>0</v>
      </c>
      <c r="AD20" s="4"/>
      <c r="AE20" s="4"/>
      <c r="AF20" s="4"/>
      <c r="AG20" s="5"/>
      <c r="AH20" s="5"/>
      <c r="AI20" s="5"/>
      <c r="AJ20" s="1" t="s">
        <v>69</v>
      </c>
      <c r="AK20" s="1">
        <f>COUNTIFS(E:E,"=ASIAN",K:K,"=ORDER BLOCK")</f>
        <v>0</v>
      </c>
      <c r="AL20" s="23">
        <f>COUNTIFS(E:E,"=ASIAN",K:K,"=ORDER BLOCK", M:M,"=WIN")</f>
        <v>0</v>
      </c>
      <c r="AM20" s="24">
        <f>COUNTIFS(E:E,"=ASIAN",K:K,"=ORDER BLOCK", M:M,"=LOSS")</f>
        <v>0</v>
      </c>
      <c r="AN20" s="25">
        <f>COUNTIFS(E:E,"=ASIAN",K:K,"=ORDER BLOCK", M:M,"=BREAK-EVEN")</f>
        <v>0</v>
      </c>
      <c r="AO20" s="1" t="e">
        <f>AL20/AK20*100</f>
        <v>#DIV/0!</v>
      </c>
      <c r="AP20" s="12"/>
      <c r="AQ20" s="12"/>
      <c r="AR20" s="12"/>
      <c r="AS20" s="12"/>
      <c r="AT20" s="12"/>
      <c r="AU20" s="12"/>
      <c r="AV20" s="12"/>
      <c r="AW20" s="12"/>
      <c r="AX20" s="12"/>
      <c r="AY20" s="5"/>
    </row>
    <row r="21" spans="20:51" x14ac:dyDescent="0.35">
      <c r="T21" s="5"/>
      <c r="U21" s="1" t="s">
        <v>4</v>
      </c>
      <c r="V21" s="1" t="s">
        <v>24</v>
      </c>
      <c r="W21" s="4"/>
      <c r="X21" s="4"/>
      <c r="Y21" s="4"/>
      <c r="Z21" s="4"/>
      <c r="AA21" s="5"/>
      <c r="AB21" s="1" t="s">
        <v>45</v>
      </c>
      <c r="AC21" s="1">
        <f>COUNTIF(L2:L1048576,"=5 MIN")</f>
        <v>0</v>
      </c>
      <c r="AD21" s="4"/>
      <c r="AE21" s="4"/>
      <c r="AF21" s="4"/>
      <c r="AG21" s="5"/>
      <c r="AH21" s="5"/>
      <c r="AI21" s="5"/>
      <c r="AP21" s="12"/>
      <c r="AQ21" s="12"/>
      <c r="AR21" s="12"/>
      <c r="AS21" s="12"/>
      <c r="AT21" s="12"/>
      <c r="AU21" s="12"/>
      <c r="AV21" s="12"/>
      <c r="AW21" s="12"/>
      <c r="AX21" s="12"/>
      <c r="AY21" s="5"/>
    </row>
    <row r="22" spans="20:51" x14ac:dyDescent="0.35">
      <c r="T22" s="5"/>
      <c r="U22" s="1" t="s">
        <v>33</v>
      </c>
      <c r="V22" s="1">
        <f>COUNTIF(I2:I1048576,"=SCALP")</f>
        <v>0</v>
      </c>
      <c r="W22" s="4"/>
      <c r="X22" s="4"/>
      <c r="Y22" s="4"/>
      <c r="Z22" s="4"/>
      <c r="AA22" s="5"/>
      <c r="AB22" s="1" t="s">
        <v>46</v>
      </c>
      <c r="AC22" s="1">
        <f>COUNTIF(L2:L1048576,"=15 MIN")</f>
        <v>0</v>
      </c>
      <c r="AD22" s="4"/>
      <c r="AE22" s="4"/>
      <c r="AF22" s="4"/>
      <c r="AG22" s="5"/>
      <c r="AH22" s="5"/>
      <c r="AI22" s="5"/>
      <c r="AJ22" s="1" t="s">
        <v>67</v>
      </c>
      <c r="AK22" s="36" t="s">
        <v>68</v>
      </c>
      <c r="AL22" s="36"/>
      <c r="AM22" s="36"/>
      <c r="AN22" s="36"/>
      <c r="AO22" s="36"/>
      <c r="AP22" s="12"/>
      <c r="AQ22" s="12"/>
      <c r="AR22" s="12"/>
      <c r="AS22" s="12"/>
      <c r="AT22" s="12"/>
      <c r="AU22" s="12"/>
      <c r="AV22" s="12"/>
      <c r="AW22" s="12"/>
      <c r="AX22" s="12"/>
      <c r="AY22" s="5"/>
    </row>
    <row r="23" spans="20:51" x14ac:dyDescent="0.35">
      <c r="T23" s="5"/>
      <c r="U23" s="1" t="s">
        <v>20</v>
      </c>
      <c r="V23" s="1">
        <f>COUNTIF(I2:I1048576,"=DAY")</f>
        <v>0</v>
      </c>
      <c r="W23" s="4"/>
      <c r="X23" s="4"/>
      <c r="Y23" s="4"/>
      <c r="Z23" s="4"/>
      <c r="AA23" s="5"/>
      <c r="AB23" s="1" t="s">
        <v>47</v>
      </c>
      <c r="AC23" s="1">
        <f>COUNTIF(L2:L1048576,"=30 MIN")</f>
        <v>0</v>
      </c>
      <c r="AD23" s="4"/>
      <c r="AE23" s="4"/>
      <c r="AF23" s="4"/>
      <c r="AG23" s="5"/>
      <c r="AH23" s="5"/>
      <c r="AI23" s="5"/>
      <c r="AJ23" s="21" t="s">
        <v>57</v>
      </c>
      <c r="AK23" s="21">
        <f>COUNTIFS(E:E,"=LONDON",K:K,"=BREAKER BLOCK")</f>
        <v>0</v>
      </c>
      <c r="AL23" s="23">
        <f>COUNTIFS(E:E,"=LONDON",K:K,"=BREAKER BLOCK", M:M,"=WIN")</f>
        <v>0</v>
      </c>
      <c r="AM23" s="24">
        <f>COUNTIFS(E:E,"=LONDON",K:K,"=BREAKER BLOCK", M:M,"=LOSS")</f>
        <v>0</v>
      </c>
      <c r="AN23" s="25">
        <f>COUNTIFS(E:E,"=LONDON",K:K,"=BREAKER BLOCK", M:M,"=BREAK-EVEN")</f>
        <v>0</v>
      </c>
      <c r="AO23" s="1" t="e">
        <f>AL23/AK23</f>
        <v>#DIV/0!</v>
      </c>
      <c r="AP23" s="12"/>
      <c r="AQ23" s="12"/>
      <c r="AR23" s="12"/>
      <c r="AS23" s="12"/>
      <c r="AT23" s="12"/>
      <c r="AU23" s="12"/>
      <c r="AV23" s="12"/>
      <c r="AW23" s="12"/>
      <c r="AX23" s="12"/>
      <c r="AY23" s="5"/>
    </row>
    <row r="24" spans="20:51" x14ac:dyDescent="0.35">
      <c r="T24" s="5"/>
      <c r="U24" s="1" t="s">
        <v>34</v>
      </c>
      <c r="V24" s="1">
        <f>COUNTIF(I2:I1048576,"=SWING")</f>
        <v>0</v>
      </c>
      <c r="W24" s="4"/>
      <c r="X24" s="4"/>
      <c r="Y24" s="4"/>
      <c r="Z24" s="4"/>
      <c r="AA24" s="5"/>
      <c r="AB24" s="1" t="s">
        <v>17</v>
      </c>
      <c r="AC24" s="1">
        <f>COUNTIF(L2:L1048576,"=1 HR")</f>
        <v>0</v>
      </c>
      <c r="AD24" s="4"/>
      <c r="AE24" s="4"/>
      <c r="AF24" s="4"/>
      <c r="AG24" s="5"/>
      <c r="AH24" s="5"/>
      <c r="AI24" s="5"/>
      <c r="AJ24" s="22" t="s">
        <v>56</v>
      </c>
      <c r="AK24" s="22">
        <f>COUNTIFS(E:E,"=NEW YORK",K:K,"=BREAKER BLOCK")</f>
        <v>0</v>
      </c>
      <c r="AL24" s="23">
        <f>COUNTIFS(E:E,"=NEW YORK",K:K,"=BREAKER BLOCK", M:M,"=WIN")</f>
        <v>0</v>
      </c>
      <c r="AM24" s="24">
        <f>COUNTIFS(E:E,"=NEW YORK",K:K,"=BREAKER BLOCK", M:M,"=LOSS")</f>
        <v>0</v>
      </c>
      <c r="AN24" s="25">
        <f>COUNTIFS(E:E,"=NEW YORK",K:K,"=BREAKER BLOCK", M:M,"=BREAK-EVEN")</f>
        <v>0</v>
      </c>
      <c r="AO24" s="1" t="e">
        <f>AL24/AK24*100</f>
        <v>#DIV/0!</v>
      </c>
      <c r="AP24" s="12"/>
      <c r="AQ24" s="12"/>
      <c r="AR24" s="12"/>
      <c r="AS24" s="12"/>
      <c r="AT24" s="12"/>
      <c r="AU24" s="12"/>
      <c r="AV24" s="12"/>
      <c r="AW24" s="12"/>
      <c r="AX24" s="12"/>
      <c r="AY24" s="5"/>
    </row>
    <row r="25" spans="20:51" x14ac:dyDescent="0.35">
      <c r="T25" s="5"/>
      <c r="U25" s="4"/>
      <c r="V25" s="4"/>
      <c r="W25" s="4"/>
      <c r="X25" s="4"/>
      <c r="Y25" s="4"/>
      <c r="Z25" s="4"/>
      <c r="AA25" s="5"/>
      <c r="AB25" s="4"/>
      <c r="AC25" s="4"/>
      <c r="AD25" s="4"/>
      <c r="AE25" s="4"/>
      <c r="AF25" s="4"/>
      <c r="AG25" s="5"/>
      <c r="AH25" s="5"/>
      <c r="AI25" s="5"/>
      <c r="AJ25" s="1" t="s">
        <v>69</v>
      </c>
      <c r="AK25" s="1">
        <f>COUNTIFS(E:E,"=ASIAN",K:K,"=BREAKER BLOCK")</f>
        <v>0</v>
      </c>
      <c r="AL25" s="23">
        <f>COUNTIFS(E:E,"=ASIAN",K:K,"=BREAKER BLOCK", M:M,"=WIN")</f>
        <v>0</v>
      </c>
      <c r="AM25" s="24">
        <f>COUNTIFS(E:E,"=ASIAN",K:K,"=BREAKER BLOCK", M:M,"=LOSS")</f>
        <v>0</v>
      </c>
      <c r="AN25" s="25">
        <f>COUNTIFS(E:E,"=ASIAN",K:K,"=BREAKER BLOCK", M:M,"=BREAK-EVEN")</f>
        <v>0</v>
      </c>
      <c r="AO25" s="1" t="e">
        <f>AL25/AK25*100</f>
        <v>#DIV/0!</v>
      </c>
      <c r="AP25" s="12"/>
      <c r="AQ25" s="12"/>
      <c r="AR25" s="12"/>
      <c r="AS25" s="12"/>
      <c r="AT25" s="12"/>
      <c r="AU25" s="12"/>
      <c r="AV25" s="12"/>
      <c r="AW25" s="12"/>
      <c r="AX25" s="12"/>
      <c r="AY25" s="5"/>
    </row>
    <row r="26" spans="20:51" x14ac:dyDescent="0.35">
      <c r="T26" s="5"/>
      <c r="U26" s="36" t="s">
        <v>60</v>
      </c>
      <c r="V26" s="36"/>
      <c r="W26" s="36"/>
      <c r="X26" s="36"/>
      <c r="Y26" s="36"/>
      <c r="Z26" s="36"/>
      <c r="AA26" s="5"/>
      <c r="AB26" s="1" t="s">
        <v>37</v>
      </c>
      <c r="AC26" s="1" t="s">
        <v>24</v>
      </c>
      <c r="AD26" s="4"/>
      <c r="AE26" s="4"/>
      <c r="AF26" s="4"/>
      <c r="AG26" s="5"/>
      <c r="AH26" s="5"/>
      <c r="AI26" s="5"/>
      <c r="AP26" s="12"/>
      <c r="AQ26" s="12"/>
      <c r="AR26" s="12"/>
      <c r="AS26" s="12"/>
      <c r="AT26" s="12"/>
      <c r="AU26" s="12"/>
      <c r="AV26" s="12"/>
      <c r="AW26" s="12"/>
      <c r="AX26" s="12"/>
      <c r="AY26" s="5"/>
    </row>
    <row r="27" spans="20:51" x14ac:dyDescent="0.35">
      <c r="T27" s="5"/>
      <c r="U27" s="11" t="s">
        <v>61</v>
      </c>
      <c r="V27" s="1" t="s">
        <v>24</v>
      </c>
      <c r="W27" s="23" t="s">
        <v>58</v>
      </c>
      <c r="X27" s="24" t="s">
        <v>26</v>
      </c>
      <c r="Y27" s="25" t="s">
        <v>16</v>
      </c>
      <c r="Z27" s="1" t="s">
        <v>51</v>
      </c>
      <c r="AA27" s="5"/>
      <c r="AB27" s="1" t="s">
        <v>40</v>
      </c>
      <c r="AC27" s="1">
        <f>COUNTIF(N2:N1048576,"=YES")</f>
        <v>0</v>
      </c>
      <c r="AD27" s="4"/>
      <c r="AE27" s="4"/>
      <c r="AF27" s="4"/>
      <c r="AG27" s="5"/>
      <c r="AH27" s="5"/>
      <c r="AI27" s="5"/>
      <c r="AJ27" s="7" t="s">
        <v>67</v>
      </c>
      <c r="AK27" s="37" t="s">
        <v>59</v>
      </c>
      <c r="AL27" s="37"/>
      <c r="AM27" s="37"/>
      <c r="AN27" s="37"/>
      <c r="AO27" s="37"/>
      <c r="AP27" s="12"/>
      <c r="AQ27" s="12"/>
      <c r="AR27" s="12"/>
      <c r="AS27" s="12"/>
      <c r="AT27" s="12"/>
      <c r="AU27" s="12"/>
      <c r="AV27" s="12"/>
      <c r="AW27" s="12"/>
      <c r="AX27" s="12"/>
      <c r="AY27" s="5"/>
    </row>
    <row r="28" spans="20:51" x14ac:dyDescent="0.35">
      <c r="T28" s="5"/>
      <c r="U28" s="26" t="s">
        <v>57</v>
      </c>
      <c r="V28" s="21">
        <f>COUNTIF(E2:E1048576,"LONDON")</f>
        <v>0</v>
      </c>
      <c r="W28" s="23">
        <f>COUNTIFS(E2:E1048576,"=LONDON",M2:M1048576,"=WIN")</f>
        <v>0</v>
      </c>
      <c r="X28" s="24">
        <f>COUNTIFS(E2:E1048576,"=LONDON",M2:M1048576,"=LOSS")</f>
        <v>0</v>
      </c>
      <c r="Y28" s="25">
        <f>COUNTIFS(E2:E1048576,"=LONDON",M2:M1048576,"=BREAK-EVEN")</f>
        <v>0</v>
      </c>
      <c r="Z28" s="1" t="e">
        <f>W28/V28*100</f>
        <v>#DIV/0!</v>
      </c>
      <c r="AA28" s="5"/>
      <c r="AB28" s="1" t="s">
        <v>41</v>
      </c>
      <c r="AC28" s="1">
        <f>COUNTIF(O2:O1048576,"=YES")</f>
        <v>0</v>
      </c>
      <c r="AD28" s="4"/>
      <c r="AE28" s="4"/>
      <c r="AF28" s="4"/>
      <c r="AG28" s="5"/>
      <c r="AH28" s="5"/>
      <c r="AI28" s="5"/>
      <c r="AJ28" s="21" t="s">
        <v>57</v>
      </c>
      <c r="AK28" s="21">
        <f>COUNTIFS(E:E,"=LONDON",K:K,"=FVG/IMB")</f>
        <v>0</v>
      </c>
      <c r="AL28" s="23">
        <f>COUNTIFS(E:E,"=LONDON",K:K,"=FVG/IMB", M:M,"=WIN")</f>
        <v>0</v>
      </c>
      <c r="AM28" s="24">
        <f>COUNTIFS(E:E,"=LONDON",K:K,"=FVG/IMB", M:M,"=LOSS")</f>
        <v>0</v>
      </c>
      <c r="AN28" s="25">
        <f>COUNTIFS(E:E,"=LONDON",K:K,"=FVG/IMB", M:M,"=BREAK-EVEN")</f>
        <v>0</v>
      </c>
      <c r="AO28" s="1" t="e">
        <f>AL28/AK28*100</f>
        <v>#DIV/0!</v>
      </c>
      <c r="AP28" s="12"/>
      <c r="AQ28" s="12"/>
      <c r="AR28" s="12"/>
      <c r="AS28" s="12"/>
      <c r="AT28" s="12"/>
      <c r="AU28" s="12"/>
      <c r="AV28" s="12"/>
      <c r="AW28" s="12"/>
      <c r="AX28" s="12"/>
      <c r="AY28" s="5"/>
    </row>
    <row r="29" spans="20:51" x14ac:dyDescent="0.35">
      <c r="T29" s="5"/>
      <c r="U29" s="27" t="s">
        <v>56</v>
      </c>
      <c r="V29" s="20">
        <f>COUNTIF(E2:E1048576,"NEW YORK")</f>
        <v>0</v>
      </c>
      <c r="W29" s="23">
        <f>COUNTIFS(E2:E1048576,"=NEW YORK",M2:M1048576,"=WIN")</f>
        <v>0</v>
      </c>
      <c r="X29" s="24">
        <f>COUNTIFS(E2:E1048576,"=NEW YORK",M2:M1048576,"=LOSS")</f>
        <v>0</v>
      </c>
      <c r="Y29" s="25">
        <f>COUNTIFS(E2:E1048576,"=NEW YORK",M2:M1048576,"=BREAK-EVEN")</f>
        <v>0</v>
      </c>
      <c r="Z29" s="1" t="e">
        <f>W29/V29*100</f>
        <v>#DIV/0!</v>
      </c>
      <c r="AA29" s="5"/>
      <c r="AB29" s="1" t="s">
        <v>42</v>
      </c>
      <c r="AC29" s="1">
        <f>COUNTIF(P2:P1048576,"=YES")</f>
        <v>0</v>
      </c>
      <c r="AD29" s="4"/>
      <c r="AE29" s="4"/>
      <c r="AF29" s="4"/>
      <c r="AG29" s="5"/>
      <c r="AH29" s="5"/>
      <c r="AI29" s="5"/>
      <c r="AJ29" s="22" t="s">
        <v>56</v>
      </c>
      <c r="AK29" s="22">
        <f>COUNTIFS(E:E,"=NEW YORK",K:K,"=FVG/IMB")</f>
        <v>0</v>
      </c>
      <c r="AL29" s="23">
        <f>COUNTIFS(E:E,"=NEW YORK",K:K,"=FVG/IMB", M:M,"=WIN")</f>
        <v>0</v>
      </c>
      <c r="AM29" s="24">
        <f>COUNTIFS(E:E,"=NEW YORK",K:K,"=FVG/IMB", M:M,"=LOSS")</f>
        <v>0</v>
      </c>
      <c r="AN29" s="25">
        <f>COUNTIFS(E:E,"=NEW YORK",K:K,"=FVG/IMB", M:M,"=BREAK-EVEN")</f>
        <v>0</v>
      </c>
      <c r="AO29" s="1" t="e">
        <f>AL29/AK29*100</f>
        <v>#DIV/0!</v>
      </c>
      <c r="AP29" s="12"/>
      <c r="AQ29" s="12"/>
      <c r="AR29" s="12"/>
      <c r="AS29" s="12"/>
      <c r="AT29" s="12"/>
      <c r="AU29" s="12"/>
      <c r="AV29" s="12"/>
      <c r="AW29" s="12"/>
      <c r="AX29" s="12"/>
      <c r="AY29" s="5"/>
    </row>
    <row r="30" spans="20:51" x14ac:dyDescent="0.35">
      <c r="T30" s="5"/>
      <c r="U30" s="1" t="s">
        <v>69</v>
      </c>
      <c r="V30" s="1">
        <f>COUNTIF(E2:E1048576,"ASIAN")</f>
        <v>0</v>
      </c>
      <c r="W30" s="23">
        <f>COUNTIFS(E2:E1048576,"=ASIAN",M2:M1048576,"=WIN")</f>
        <v>0</v>
      </c>
      <c r="X30" s="24">
        <f>COUNTIFS(E2:E1048576,"=ASIAN",M2:M1048576,"=LOSS")</f>
        <v>0</v>
      </c>
      <c r="Y30" s="25">
        <f>COUNTIFS(E2:E1048576,"=ASIAN",M2:M1048576,"=BREAK-EVEN")</f>
        <v>0</v>
      </c>
      <c r="Z30" s="1" t="e">
        <f>W30/V30*100</f>
        <v>#DIV/0!</v>
      </c>
      <c r="AA30" s="5"/>
      <c r="AB30" s="1" t="s">
        <v>43</v>
      </c>
      <c r="AC30" s="1">
        <f>COUNTIF(Q2:Q1048576,"=YES")</f>
        <v>0</v>
      </c>
      <c r="AD30" s="4"/>
      <c r="AE30" s="4"/>
      <c r="AF30" s="4"/>
      <c r="AG30" s="5"/>
      <c r="AH30" s="5"/>
      <c r="AI30" s="5"/>
      <c r="AJ30" s="1" t="s">
        <v>69</v>
      </c>
      <c r="AK30" s="1">
        <f>COUNTIFS(E:E,"=ASIAN",K:K,"=FVG/IMB")</f>
        <v>0</v>
      </c>
      <c r="AL30" s="23">
        <f>COUNTIFS(E:E,"=ASIAN",K:K,"=FVG/IMB", M:M,"=WIN")</f>
        <v>0</v>
      </c>
      <c r="AM30" s="24">
        <f>COUNTIFS(E:E,"=ASIAN",K:K,"=FVG/IMB", M:M,"=LOSS")</f>
        <v>0</v>
      </c>
      <c r="AN30" s="25">
        <f>COUNTIFS(E:E,"=ASIAN",K:K,"=FVG/IMB", M:M,"=BREAK-EVEN")</f>
        <v>0</v>
      </c>
      <c r="AO30" s="1" t="e">
        <f>AL30/AK30*100</f>
        <v>#DIV/0!</v>
      </c>
      <c r="AP30" s="12"/>
      <c r="AQ30" s="12"/>
      <c r="AR30" s="12"/>
      <c r="AS30" s="12"/>
      <c r="AT30" s="12"/>
      <c r="AU30" s="12"/>
      <c r="AV30" s="12"/>
      <c r="AW30" s="12"/>
      <c r="AX30" s="12"/>
      <c r="AY30" s="5"/>
    </row>
    <row r="31" spans="20:51" x14ac:dyDescent="0.35">
      <c r="T31" s="5"/>
      <c r="U31" s="4"/>
      <c r="V31" s="4"/>
      <c r="W31" s="4"/>
      <c r="X31" s="4"/>
      <c r="Y31" s="4"/>
      <c r="Z31" s="4"/>
      <c r="AA31" s="5"/>
      <c r="AB31" s="4"/>
      <c r="AC31" s="4"/>
      <c r="AD31" s="4"/>
      <c r="AE31" s="4"/>
      <c r="AF31" s="4"/>
      <c r="AG31" s="5"/>
      <c r="AH31" s="5"/>
      <c r="AI31" s="5"/>
      <c r="AP31" s="12"/>
      <c r="AQ31" s="12"/>
      <c r="AR31" s="12"/>
      <c r="AS31" s="12"/>
      <c r="AT31" s="12"/>
      <c r="AU31" s="12"/>
      <c r="AV31" s="12"/>
      <c r="AW31" s="12"/>
      <c r="AX31" s="12"/>
      <c r="AY31" s="5"/>
    </row>
    <row r="32" spans="20:51" x14ac:dyDescent="0.35">
      <c r="T32" s="5"/>
      <c r="U32" s="4"/>
      <c r="V32" s="4"/>
      <c r="W32" s="4"/>
      <c r="X32" s="4"/>
      <c r="Y32" s="4"/>
      <c r="Z32" s="4"/>
      <c r="AA32" s="5"/>
      <c r="AB32" s="4"/>
      <c r="AC32" s="4"/>
      <c r="AD32" s="4"/>
      <c r="AE32" s="4"/>
      <c r="AF32" s="4"/>
      <c r="AG32" s="5"/>
      <c r="AH32" s="5"/>
      <c r="AI32" s="5"/>
      <c r="AJ32" s="4"/>
      <c r="AK32" s="4"/>
      <c r="AL32" s="4"/>
      <c r="AM32" s="4"/>
      <c r="AN32" s="4"/>
      <c r="AO32" s="4"/>
      <c r="AP32" s="12"/>
      <c r="AQ32" s="12"/>
      <c r="AR32" s="12"/>
      <c r="AS32" s="12"/>
      <c r="AT32" s="12"/>
      <c r="AU32" s="12"/>
      <c r="AV32" s="12"/>
      <c r="AW32" s="12"/>
      <c r="AX32" s="12"/>
      <c r="AY32" s="5"/>
    </row>
    <row r="33" spans="20:51" x14ac:dyDescent="0.35">
      <c r="T33" s="5"/>
      <c r="U33" s="4"/>
      <c r="V33" s="4"/>
      <c r="W33" s="4"/>
      <c r="X33" s="4"/>
      <c r="Y33" s="4"/>
      <c r="Z33" s="4"/>
      <c r="AA33" s="5"/>
      <c r="AB33" s="4"/>
      <c r="AC33" s="4"/>
      <c r="AD33" s="4"/>
      <c r="AE33" s="4"/>
      <c r="AF33" s="4"/>
      <c r="AG33" s="5"/>
      <c r="AH33" s="5"/>
      <c r="AI33" s="5"/>
      <c r="AJ33" s="4"/>
      <c r="AK33" s="4"/>
      <c r="AL33" s="4"/>
      <c r="AM33" s="4"/>
      <c r="AN33" s="4"/>
      <c r="AO33" s="4"/>
      <c r="AP33" s="12"/>
      <c r="AQ33" s="12"/>
      <c r="AR33" s="12"/>
      <c r="AS33" s="12"/>
      <c r="AT33" s="12"/>
      <c r="AU33" s="12"/>
      <c r="AV33" s="12"/>
      <c r="AW33" s="12"/>
      <c r="AX33" s="12"/>
      <c r="AY33" s="5"/>
    </row>
    <row r="34" spans="20:51" x14ac:dyDescent="0.35">
      <c r="T34" s="5"/>
      <c r="U34" s="4"/>
      <c r="V34" s="4"/>
      <c r="W34" s="4"/>
      <c r="X34" s="4"/>
      <c r="Y34" s="4"/>
      <c r="Z34" s="4"/>
      <c r="AA34" s="5"/>
      <c r="AB34" s="4"/>
      <c r="AC34" s="4"/>
      <c r="AD34" s="4"/>
      <c r="AE34" s="4"/>
      <c r="AF34" s="4"/>
      <c r="AG34" s="5"/>
      <c r="AH34" s="5"/>
      <c r="AI34" s="5"/>
      <c r="AP34" s="5"/>
      <c r="AQ34" s="5"/>
      <c r="AR34" s="5"/>
      <c r="AS34" s="5"/>
      <c r="AT34" s="5"/>
      <c r="AU34" s="5"/>
      <c r="AV34" s="5"/>
      <c r="AW34" s="5"/>
      <c r="AX34" s="5"/>
      <c r="AY34" s="5"/>
    </row>
    <row r="35" spans="20:51" x14ac:dyDescent="0.35">
      <c r="T35" s="5"/>
      <c r="U35" s="4"/>
      <c r="V35" s="4"/>
      <c r="W35" s="4"/>
      <c r="X35" s="4"/>
      <c r="Y35" s="4"/>
      <c r="Z35" s="4"/>
      <c r="AA35" s="5"/>
      <c r="AB35" s="4"/>
      <c r="AC35" s="4"/>
      <c r="AD35" s="4"/>
      <c r="AE35" s="4"/>
      <c r="AF35" s="4"/>
      <c r="AG35" s="5"/>
      <c r="AH35" s="5"/>
      <c r="AI35" s="5"/>
      <c r="AP35" s="5"/>
      <c r="AQ35" s="5"/>
      <c r="AR35" s="5"/>
      <c r="AS35" s="5"/>
      <c r="AT35" s="5"/>
      <c r="AU35" s="5"/>
      <c r="AV35" s="5"/>
      <c r="AW35" s="5"/>
      <c r="AX35" s="5"/>
      <c r="AY35" s="5"/>
    </row>
    <row r="36" spans="20:51" x14ac:dyDescent="0.35">
      <c r="T36" s="5"/>
      <c r="U36" s="4"/>
      <c r="V36" s="4"/>
      <c r="W36" s="4"/>
      <c r="X36" s="4"/>
      <c r="Y36" s="4"/>
      <c r="Z36" s="4"/>
      <c r="AA36" s="5"/>
      <c r="AB36" s="4"/>
      <c r="AC36" s="4"/>
      <c r="AD36" s="4"/>
      <c r="AE36" s="4"/>
      <c r="AF36" s="4"/>
      <c r="AG36" s="5"/>
      <c r="AH36" s="5"/>
      <c r="AI36" s="5"/>
      <c r="AP36" s="5"/>
      <c r="AQ36" s="5"/>
      <c r="AR36" s="5"/>
      <c r="AS36" s="5"/>
      <c r="AT36" s="5"/>
      <c r="AU36" s="5"/>
      <c r="AV36" s="5"/>
      <c r="AW36" s="5"/>
      <c r="AX36" s="5"/>
      <c r="AY36" s="5"/>
    </row>
    <row r="37" spans="20:51" x14ac:dyDescent="0.35">
      <c r="T37" s="5"/>
      <c r="U37" s="4"/>
      <c r="V37" s="4"/>
      <c r="W37" s="4"/>
      <c r="X37" s="4"/>
      <c r="Y37" s="4"/>
      <c r="Z37" s="4"/>
      <c r="AA37" s="5"/>
      <c r="AB37" s="4"/>
      <c r="AC37" s="4"/>
      <c r="AD37" s="4"/>
      <c r="AE37" s="4"/>
      <c r="AF37" s="4"/>
      <c r="AG37" s="5"/>
      <c r="AH37" s="5"/>
      <c r="AI37" s="5"/>
      <c r="AP37" s="5"/>
      <c r="AQ37" s="5"/>
      <c r="AR37" s="5"/>
      <c r="AS37" s="5"/>
      <c r="AT37" s="5"/>
      <c r="AU37" s="5"/>
      <c r="AV37" s="5"/>
      <c r="AW37" s="5"/>
      <c r="AX37" s="5"/>
      <c r="AY37" s="5"/>
    </row>
    <row r="38" spans="20:51" x14ac:dyDescent="0.35">
      <c r="T38" s="5"/>
      <c r="U38" s="15"/>
      <c r="V38" s="16"/>
      <c r="W38" s="4"/>
      <c r="X38" s="4"/>
      <c r="Y38" s="4"/>
      <c r="Z38" s="4"/>
      <c r="AA38" s="5"/>
      <c r="AB38" s="4"/>
      <c r="AC38" s="4"/>
      <c r="AD38" s="4"/>
      <c r="AE38" s="4"/>
      <c r="AF38" s="4"/>
      <c r="AG38" s="5"/>
      <c r="AH38" s="5"/>
      <c r="AI38" s="5"/>
      <c r="AP38" s="5"/>
      <c r="AQ38" s="5"/>
      <c r="AR38" s="5"/>
      <c r="AS38" s="5"/>
      <c r="AT38" s="5"/>
      <c r="AU38" s="5"/>
      <c r="AV38" s="5"/>
      <c r="AW38" s="5"/>
      <c r="AX38" s="5"/>
      <c r="AY38" s="5"/>
    </row>
    <row r="39" spans="20:51" x14ac:dyDescent="0.35">
      <c r="T39" s="5"/>
      <c r="U39" s="4"/>
      <c r="V39" s="4"/>
      <c r="W39" s="4"/>
      <c r="X39" s="4"/>
      <c r="Y39" s="4"/>
      <c r="Z39" s="4"/>
      <c r="AA39" s="5"/>
      <c r="AB39" s="4"/>
      <c r="AC39" s="4"/>
      <c r="AD39" s="4"/>
      <c r="AE39" s="4"/>
      <c r="AF39" s="4"/>
      <c r="AG39" s="5"/>
      <c r="AH39" s="5"/>
      <c r="AI39" s="5"/>
      <c r="AP39" s="5"/>
      <c r="AQ39" s="5"/>
      <c r="AR39" s="5"/>
      <c r="AS39" s="5"/>
      <c r="AT39" s="5"/>
      <c r="AU39" s="5"/>
      <c r="AV39" s="5"/>
      <c r="AW39" s="5"/>
      <c r="AX39" s="5"/>
      <c r="AY39" s="5"/>
    </row>
    <row r="40" spans="20:51" x14ac:dyDescent="0.35">
      <c r="T40" s="5"/>
      <c r="U40" s="4"/>
      <c r="V40" s="4"/>
      <c r="W40" s="4"/>
      <c r="X40" s="4"/>
      <c r="Y40" s="4"/>
      <c r="Z40" s="4"/>
      <c r="AA40" s="5"/>
      <c r="AB40" s="4"/>
      <c r="AC40" s="4"/>
      <c r="AD40" s="4"/>
      <c r="AE40" s="4"/>
      <c r="AF40" s="4"/>
      <c r="AG40" s="5"/>
      <c r="AH40" s="5"/>
      <c r="AI40" s="5"/>
      <c r="AP40" s="5"/>
      <c r="AQ40" s="5"/>
      <c r="AR40" s="5"/>
      <c r="AS40" s="5"/>
      <c r="AT40" s="5"/>
      <c r="AU40" s="5"/>
      <c r="AV40" s="5"/>
      <c r="AW40" s="5"/>
      <c r="AX40" s="5"/>
      <c r="AY40" s="5"/>
    </row>
    <row r="41" spans="20:51" x14ac:dyDescent="0.35">
      <c r="T41" s="5"/>
      <c r="U41" s="4"/>
      <c r="V41" s="4"/>
      <c r="W41" s="4"/>
      <c r="X41" s="4"/>
      <c r="Y41" s="4"/>
      <c r="Z41" s="4"/>
      <c r="AA41" s="5"/>
      <c r="AG41" s="5"/>
      <c r="AH41" s="5"/>
      <c r="AI41" s="5"/>
      <c r="AP41" s="5"/>
      <c r="AQ41" s="5"/>
      <c r="AR41" s="5"/>
      <c r="AS41" s="5"/>
      <c r="AT41" s="5"/>
      <c r="AU41" s="5"/>
      <c r="AV41" s="5"/>
      <c r="AW41" s="5"/>
      <c r="AX41" s="5"/>
      <c r="AY41" s="5"/>
    </row>
    <row r="42" spans="20:51" x14ac:dyDescent="0.35">
      <c r="T42" s="5"/>
      <c r="U42" s="4"/>
      <c r="V42" s="4"/>
      <c r="W42" s="4"/>
      <c r="X42" s="4"/>
      <c r="Y42" s="4"/>
      <c r="Z42" s="4"/>
      <c r="AA42" s="5"/>
      <c r="AG42" s="5"/>
      <c r="AH42" s="5"/>
      <c r="AI42" s="5"/>
      <c r="AP42" s="5"/>
      <c r="AQ42" s="5"/>
      <c r="AR42" s="5"/>
      <c r="AS42" s="5"/>
      <c r="AT42" s="5"/>
      <c r="AU42" s="5"/>
      <c r="AV42" s="5"/>
      <c r="AW42" s="5"/>
      <c r="AX42" s="5"/>
      <c r="AY42" s="5"/>
    </row>
    <row r="46" spans="20:51" x14ac:dyDescent="0.35">
      <c r="V46" s="2"/>
    </row>
    <row r="47" spans="20:51" x14ac:dyDescent="0.35">
      <c r="U47" s="2"/>
    </row>
  </sheetData>
  <mergeCells count="9">
    <mergeCell ref="AK22:AO22"/>
    <mergeCell ref="U26:Z26"/>
    <mergeCell ref="AK27:AO27"/>
    <mergeCell ref="AB2:AC2"/>
    <mergeCell ref="AJ2:AN2"/>
    <mergeCell ref="AK3:AO3"/>
    <mergeCell ref="AK9:AO9"/>
    <mergeCell ref="AJ15:AO15"/>
    <mergeCell ref="AK16:AO16"/>
  </mergeCells>
  <dataValidations count="12">
    <dataValidation type="list" showInputMessage="1" showErrorMessage="1" sqref="J4" xr:uid="{EACB1C56-9585-403C-919C-F0D75A02AAB9}">
      <formula1>"BREAK &amp; RETEST, LIQUIDITY GRAB (PREV H/L or TRENDLINE)"</formula1>
    </dataValidation>
    <dataValidation type="date" allowBlank="1" showInputMessage="1" showErrorMessage="1" sqref="A2:A1048576" xr:uid="{7912AF9E-82AA-41AD-A648-2E6E49B0E1F7}">
      <formula1>38353</formula1>
      <formula2>45291</formula2>
    </dataValidation>
    <dataValidation type="list" showInputMessage="1" showErrorMessage="1" sqref="B2:B1048576" xr:uid="{D54D160B-6D42-4E87-9900-03C6ACD5F4A1}">
      <formula1>"US30"</formula1>
    </dataValidation>
    <dataValidation type="list" showInputMessage="1" showErrorMessage="1" sqref="C1:C1048576" xr:uid="{FB46C4D2-0A9E-4F72-AF8F-127E952C88C2}">
      <formula1>"LONG, SHORT"</formula1>
    </dataValidation>
    <dataValidation type="list" showInputMessage="1" showErrorMessage="1" sqref="D2:D1048576" xr:uid="{5841CDE3-A16F-4955-949B-C8705A42F403}">
      <formula1>"MONDAY, TUESDAY, WEDNESDAY, THURSDAY, FRIDAY"</formula1>
    </dataValidation>
    <dataValidation type="list" showInputMessage="1" showErrorMessage="1" sqref="E2:E1048576" xr:uid="{47CDEC51-610A-4BD9-96F4-F32C346443CC}">
      <formula1>"LONDON, NEW YORK, ASIAN"</formula1>
    </dataValidation>
    <dataValidation type="list" showInputMessage="1" showErrorMessage="1" sqref="I2:I1048576" xr:uid="{BA9308AD-EC6D-43BB-A75B-DF9E9EA99A58}">
      <formula1>"SCALP, DAY, SWING"</formula1>
    </dataValidation>
    <dataValidation type="list" showInputMessage="1" showErrorMessage="1" sqref="J2:J3 J5:J1048576" xr:uid="{B32BF2E1-1ECD-4B82-A766-B92DC74DBEBE}">
      <formula1>"BREAK &amp; RETEST, LIQUIDITY GRAB (PREV H L or TRENDLINE)"</formula1>
    </dataValidation>
    <dataValidation type="list" showInputMessage="1" showErrorMessage="1" sqref="K2:K1048576" xr:uid="{FEF4EE71-B1AF-410E-BBF0-916EA7E3ACFF}">
      <formula1>"ORDER BLOCK, BREAKER BLOCK, FVG/IMB"</formula1>
    </dataValidation>
    <dataValidation type="list" showInputMessage="1" showErrorMessage="1" sqref="L2:L1048576" xr:uid="{C958C380-F662-447F-9B82-8CA9DBCC2F5F}">
      <formula1>"1 MIN, 3 MIN, 5 MIN, 15 MIN, 30 MIN, 1 HR"</formula1>
    </dataValidation>
    <dataValidation type="list" showInputMessage="1" showErrorMessage="1" sqref="N2:Q1048576" xr:uid="{F9FA5DE5-4B0C-4A8E-A589-631CF053D641}">
      <formula1>"YES, NO"</formula1>
    </dataValidation>
    <dataValidation type="list" showInputMessage="1" showErrorMessage="1" sqref="M2:M1048576" xr:uid="{775E495F-42BA-4322-B7B2-65AC5E90605E}">
      <formula1>"WIN, LOSS, BREAK-EVEN"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F78CB-59C5-4A40-9B7C-8A5A7D0FF927}">
  <dimension ref="A1:AY47"/>
  <sheetViews>
    <sheetView zoomScale="70" zoomScaleNormal="70" workbookViewId="0">
      <selection activeCell="B2" sqref="B2"/>
    </sheetView>
  </sheetViews>
  <sheetFormatPr defaultRowHeight="14.5" x14ac:dyDescent="0.35"/>
  <cols>
    <col min="1" max="1" width="12" style="3" customWidth="1"/>
    <col min="2" max="2" width="9.26953125" style="3" customWidth="1"/>
    <col min="3" max="3" width="10.26953125" style="3" customWidth="1"/>
    <col min="4" max="4" width="11.1796875" style="3" customWidth="1"/>
    <col min="5" max="5" width="15.6328125" style="3" customWidth="1"/>
    <col min="6" max="6" width="8.7265625" style="3"/>
    <col min="7" max="7" width="12.26953125" style="3" customWidth="1"/>
    <col min="8" max="8" width="15.453125" style="3" customWidth="1"/>
    <col min="9" max="9" width="12.08984375" style="3" customWidth="1"/>
    <col min="10" max="10" width="33.81640625" style="3" customWidth="1"/>
    <col min="11" max="11" width="16.90625" style="3" customWidth="1"/>
    <col min="12" max="12" width="15.90625" style="3" customWidth="1"/>
    <col min="13" max="13" width="11.54296875" style="3" customWidth="1"/>
    <col min="14" max="16" width="8.7265625" style="3"/>
    <col min="17" max="17" width="14.26953125" style="3" customWidth="1"/>
    <col min="18" max="18" width="36.453125" style="3" customWidth="1"/>
    <col min="19" max="19" width="39" style="3" customWidth="1"/>
    <col min="20" max="20" width="8.7265625" style="3"/>
    <col min="21" max="21" width="15.90625" style="1" customWidth="1"/>
    <col min="22" max="22" width="12.81640625" style="1" customWidth="1"/>
    <col min="23" max="24" width="8.7265625" style="1"/>
    <col min="25" max="25" width="11.6328125" style="1" customWidth="1"/>
    <col min="26" max="26" width="14.90625" style="1" customWidth="1"/>
    <col min="27" max="27" width="18.6328125" style="3" customWidth="1"/>
    <col min="28" max="28" width="35.90625" style="1" customWidth="1"/>
    <col min="29" max="29" width="18.36328125" style="1" customWidth="1"/>
    <col min="30" max="30" width="10.90625" style="1" customWidth="1"/>
    <col min="31" max="31" width="12.26953125" style="1" customWidth="1"/>
    <col min="32" max="32" width="12.6328125" style="1" customWidth="1"/>
    <col min="33" max="35" width="8.7265625" style="3"/>
    <col min="36" max="36" width="17.453125" style="1" customWidth="1"/>
    <col min="37" max="40" width="8.7265625" style="1"/>
    <col min="41" max="41" width="15.6328125" style="1" customWidth="1"/>
    <col min="42" max="16384" width="8.7265625" style="3"/>
  </cols>
  <sheetData>
    <row r="1" spans="1:51" x14ac:dyDescent="0.35">
      <c r="A1" s="1" t="s">
        <v>54</v>
      </c>
      <c r="B1" s="1" t="s">
        <v>0</v>
      </c>
      <c r="C1" s="1" t="s">
        <v>1</v>
      </c>
      <c r="D1" s="1" t="s">
        <v>2</v>
      </c>
      <c r="E1" s="1" t="s">
        <v>55</v>
      </c>
      <c r="F1" s="1" t="s">
        <v>3</v>
      </c>
      <c r="G1" s="1" t="s">
        <v>8</v>
      </c>
      <c r="H1" s="1" t="s">
        <v>52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15</v>
      </c>
      <c r="R1" s="1" t="s">
        <v>13</v>
      </c>
      <c r="S1" s="1" t="s">
        <v>14</v>
      </c>
      <c r="T1" s="5"/>
      <c r="U1" s="4"/>
      <c r="V1" s="4"/>
      <c r="W1" s="4"/>
      <c r="X1" s="4"/>
      <c r="Y1" s="4"/>
      <c r="Z1" s="4"/>
      <c r="AA1" s="5"/>
      <c r="AB1" s="4"/>
      <c r="AC1" s="4"/>
      <c r="AD1" s="4"/>
      <c r="AE1" s="4"/>
      <c r="AF1" s="4"/>
      <c r="AG1" s="5"/>
      <c r="AH1" s="5"/>
      <c r="AI1" s="5"/>
      <c r="AJ1" s="4"/>
      <c r="AK1" s="4"/>
      <c r="AL1" s="4"/>
      <c r="AM1" s="4"/>
      <c r="AN1" s="4"/>
      <c r="AO1" s="4"/>
      <c r="AP1" s="5"/>
      <c r="AQ1" s="5"/>
      <c r="AR1" s="5"/>
      <c r="AS1" s="5"/>
      <c r="AT1" s="5"/>
      <c r="AU1" s="5"/>
      <c r="AV1" s="5"/>
      <c r="AW1" s="5"/>
      <c r="AX1" s="5"/>
      <c r="AY1" s="5"/>
    </row>
    <row r="2" spans="1:51" x14ac:dyDescent="0.35">
      <c r="A2" s="8"/>
      <c r="E2" s="9"/>
      <c r="R2" s="14"/>
      <c r="S2" s="6"/>
      <c r="T2" s="5"/>
      <c r="U2" s="1" t="s">
        <v>27</v>
      </c>
      <c r="V2" s="1" t="s">
        <v>24</v>
      </c>
      <c r="W2" s="4"/>
      <c r="X2" s="4"/>
      <c r="Y2" s="4"/>
      <c r="Z2" s="4"/>
      <c r="AA2" s="5"/>
      <c r="AB2" s="36" t="s">
        <v>38</v>
      </c>
      <c r="AC2" s="36"/>
      <c r="AD2" s="4"/>
      <c r="AE2" s="4"/>
      <c r="AF2" s="4"/>
      <c r="AG2" s="5"/>
      <c r="AH2" s="5"/>
      <c r="AI2" s="5"/>
      <c r="AJ2" s="36" t="s">
        <v>62</v>
      </c>
      <c r="AK2" s="36"/>
      <c r="AL2" s="36"/>
      <c r="AM2" s="36"/>
      <c r="AN2" s="36"/>
      <c r="AP2" s="12"/>
      <c r="AQ2" s="12"/>
      <c r="AR2" s="12"/>
      <c r="AS2" s="12"/>
      <c r="AT2" s="12"/>
      <c r="AU2" s="12"/>
      <c r="AV2" s="12"/>
      <c r="AW2" s="12"/>
      <c r="AX2" s="12"/>
      <c r="AY2" s="5"/>
    </row>
    <row r="3" spans="1:51" x14ac:dyDescent="0.35">
      <c r="E3" s="9"/>
      <c r="R3" s="14"/>
      <c r="S3" s="13"/>
      <c r="T3" s="5"/>
      <c r="U3" s="23" t="s">
        <v>25</v>
      </c>
      <c r="V3" s="23">
        <f>COUNTIF(M2:M1048576,"=WIN")</f>
        <v>0</v>
      </c>
      <c r="W3" s="4"/>
      <c r="X3" s="4"/>
      <c r="Y3" s="4"/>
      <c r="Z3" s="4"/>
      <c r="AA3" s="5"/>
      <c r="AB3" s="24" t="s">
        <v>39</v>
      </c>
      <c r="AC3" s="1" t="e">
        <f>AVERAGE(F2:F1048576)</f>
        <v>#DIV/0!</v>
      </c>
      <c r="AD3" s="4"/>
      <c r="AE3" s="4"/>
      <c r="AF3" s="4"/>
      <c r="AG3" s="5"/>
      <c r="AH3" s="5"/>
      <c r="AI3" s="5"/>
      <c r="AJ3" s="1" t="s">
        <v>63</v>
      </c>
      <c r="AK3" s="36" t="s">
        <v>50</v>
      </c>
      <c r="AL3" s="36"/>
      <c r="AM3" s="36"/>
      <c r="AN3" s="36"/>
      <c r="AO3" s="36"/>
      <c r="AP3" s="12"/>
      <c r="AQ3" s="12"/>
      <c r="AR3" s="12"/>
      <c r="AS3" s="12"/>
      <c r="AT3" s="12"/>
      <c r="AU3" s="12"/>
      <c r="AV3" s="12"/>
      <c r="AW3" s="12"/>
      <c r="AX3" s="12"/>
      <c r="AY3" s="5"/>
    </row>
    <row r="4" spans="1:51" x14ac:dyDescent="0.35">
      <c r="C4" s="18"/>
      <c r="T4" s="5"/>
      <c r="U4" s="24" t="s">
        <v>26</v>
      </c>
      <c r="V4" s="24">
        <f>COUNTIF(M2:M1048576,"=LOSS")</f>
        <v>0</v>
      </c>
      <c r="W4" s="4"/>
      <c r="X4" s="4"/>
      <c r="Y4" s="4"/>
      <c r="Z4" s="4"/>
      <c r="AA4" s="5"/>
      <c r="AB4" s="25" t="s">
        <v>52</v>
      </c>
      <c r="AC4" s="1" t="e">
        <f>AVERAGE(H2:H1048576)</f>
        <v>#DIV/0!</v>
      </c>
      <c r="AD4" s="4"/>
      <c r="AE4" s="4"/>
      <c r="AF4" s="4"/>
      <c r="AG4" s="5"/>
      <c r="AH4" s="5"/>
      <c r="AI4" s="5"/>
      <c r="AK4" s="1" t="s">
        <v>24</v>
      </c>
      <c r="AL4" s="23" t="s">
        <v>58</v>
      </c>
      <c r="AM4" s="24" t="s">
        <v>26</v>
      </c>
      <c r="AN4" s="25" t="s">
        <v>64</v>
      </c>
      <c r="AO4" s="1" t="s">
        <v>51</v>
      </c>
      <c r="AP4" s="12"/>
      <c r="AQ4" s="12"/>
      <c r="AR4" s="12"/>
      <c r="AS4" s="12"/>
      <c r="AT4" s="12"/>
      <c r="AU4" s="12"/>
      <c r="AV4" s="12"/>
      <c r="AW4" s="12"/>
      <c r="AX4" s="12"/>
      <c r="AY4" s="5"/>
    </row>
    <row r="5" spans="1:51" x14ac:dyDescent="0.35">
      <c r="C5" s="17"/>
      <c r="E5" s="10"/>
      <c r="T5" s="5"/>
      <c r="U5" s="25" t="s">
        <v>16</v>
      </c>
      <c r="V5" s="25">
        <f>COUNTIF(M2:M1048576,"=BREAK-EVEN")</f>
        <v>0</v>
      </c>
      <c r="W5" s="1">
        <f>SUM(V3:V5)</f>
        <v>0</v>
      </c>
      <c r="X5" s="4"/>
      <c r="Y5" s="4"/>
      <c r="Z5" s="4"/>
      <c r="AA5" s="5"/>
      <c r="AB5" s="23" t="s">
        <v>53</v>
      </c>
      <c r="AC5" s="1" t="e">
        <f>AVERAGE(G2:G1048576)</f>
        <v>#DIV/0!</v>
      </c>
      <c r="AD5" s="4"/>
      <c r="AE5" s="4"/>
      <c r="AF5" s="4"/>
      <c r="AG5" s="5"/>
      <c r="AH5" s="5"/>
      <c r="AI5" s="5"/>
      <c r="AJ5" s="21" t="s">
        <v>57</v>
      </c>
      <c r="AK5" s="21">
        <f>COUNTIFS(E2:E1048576,"=LONDON",J2:J1048576,"=BREAK &amp; RETEST")</f>
        <v>0</v>
      </c>
      <c r="AL5" s="23">
        <f>COUNTIFS(E2:E1048576,"=LONDON", J2:J1048576,"=BREAK &amp; RETEST",M2:M1048576,"=WIN")</f>
        <v>0</v>
      </c>
      <c r="AM5" s="24">
        <f>COUNTIFS(E2:E1048576,"=LONDON", J2:J1048576,"=BREAK &amp; RETEST",M2:M1048576,"=LOSS")</f>
        <v>0</v>
      </c>
      <c r="AN5" s="25">
        <f>COUNTIFS(E2:E1048576,"=LONDON", J2:J1048576,"=BREAK &amp; RETEST",M2:M1048576,"=BREAK-EVEN")</f>
        <v>0</v>
      </c>
      <c r="AO5" s="1" t="e">
        <f>AL5/AK5*100</f>
        <v>#DIV/0!</v>
      </c>
      <c r="AP5" s="12"/>
      <c r="AQ5" s="12"/>
      <c r="AR5" s="12"/>
      <c r="AS5" s="12"/>
      <c r="AT5" s="12"/>
      <c r="AU5" s="12"/>
      <c r="AV5" s="12"/>
      <c r="AW5" s="12"/>
      <c r="AX5" s="12"/>
      <c r="AY5" s="5"/>
    </row>
    <row r="6" spans="1:51" x14ac:dyDescent="0.35">
      <c r="A6" s="8"/>
      <c r="E6" s="10"/>
      <c r="T6" s="5"/>
      <c r="U6" s="4"/>
      <c r="V6" s="4"/>
      <c r="W6" s="4"/>
      <c r="X6" s="4"/>
      <c r="Y6" s="4"/>
      <c r="Z6" s="4"/>
      <c r="AA6" s="5"/>
      <c r="AB6" s="4"/>
      <c r="AC6" s="4"/>
      <c r="AD6" s="4"/>
      <c r="AE6" s="4"/>
      <c r="AF6" s="4"/>
      <c r="AG6" s="5"/>
      <c r="AH6" s="5"/>
      <c r="AI6" s="5"/>
      <c r="AJ6" s="22" t="s">
        <v>56</v>
      </c>
      <c r="AK6" s="22">
        <f>COUNTIFS(E2:E1048576,"=NEW YORK",J2:J1048576,"=BREAK &amp; RETEST")</f>
        <v>0</v>
      </c>
      <c r="AL6" s="23">
        <f>COUNTIFS(E2:E1048576,"=NEW YORK", J2:J1048576,"=BREAK &amp; RETEST",M2:M1048576,"=WIN")</f>
        <v>0</v>
      </c>
      <c r="AM6" s="24">
        <f>COUNTIFS(E2:E1048576,"=NEW YORK", J2:J1048576,"=BREAK &amp; RETEST",M2:M1048576,"=LOSS")</f>
        <v>0</v>
      </c>
      <c r="AN6" s="25">
        <f>COUNTIFS(E2:E1048576,"=NEW YORK", J2:J1048576,"=BREAK &amp; RETEST",M2:M1048576,"=BREAK-EVEN")</f>
        <v>0</v>
      </c>
      <c r="AO6" s="1" t="e">
        <f>AL6/AK6*100</f>
        <v>#DIV/0!</v>
      </c>
      <c r="AP6" s="12"/>
      <c r="AQ6" s="12"/>
      <c r="AR6" s="12"/>
      <c r="AS6" s="12"/>
      <c r="AT6" s="12"/>
      <c r="AU6" s="12"/>
      <c r="AV6" s="12"/>
      <c r="AW6" s="12"/>
      <c r="AX6" s="12"/>
      <c r="AY6" s="5"/>
    </row>
    <row r="7" spans="1:51" x14ac:dyDescent="0.35">
      <c r="T7" s="5"/>
      <c r="U7" s="1" t="s">
        <v>51</v>
      </c>
      <c r="V7" s="1" t="e">
        <f>V3/W5*100</f>
        <v>#DIV/0!</v>
      </c>
      <c r="W7" s="4"/>
      <c r="X7" s="4"/>
      <c r="Y7" s="4"/>
      <c r="Z7" s="4"/>
      <c r="AA7" s="5"/>
      <c r="AB7" s="1" t="s">
        <v>35</v>
      </c>
      <c r="AC7" s="1" t="s">
        <v>24</v>
      </c>
      <c r="AD7" s="23" t="s">
        <v>25</v>
      </c>
      <c r="AE7" s="24" t="s">
        <v>26</v>
      </c>
      <c r="AF7" s="25" t="s">
        <v>16</v>
      </c>
      <c r="AG7" s="5"/>
      <c r="AH7" s="5"/>
      <c r="AI7" s="5"/>
      <c r="AJ7" s="1" t="s">
        <v>69</v>
      </c>
      <c r="AK7" s="1">
        <f>COUNTIFS(E2:E1048576,"=ASIAN",J2:J1048576,"=BREAK &amp; RETEST")</f>
        <v>0</v>
      </c>
      <c r="AL7" s="23">
        <f>COUNTIFS(E2:E1048576,"=ASIAN", J2:J1048576,"=BREAK &amp; RETEST",M2:M1048576,"=WIN")</f>
        <v>0</v>
      </c>
      <c r="AM7" s="24">
        <f>COUNTIFS(E2:E1048576,"=ASIAN", J2:J1048576,"=BREAK &amp; RETEST",M2:M1048576,"=LOSS")</f>
        <v>0</v>
      </c>
      <c r="AN7" s="25">
        <f>COUNTIFS(E2:E1048576,"=ASIAN", J2:J1048576,"=BREAK &amp; RETEST",M2:M1048576,"=BREAK-EVEN")</f>
        <v>0</v>
      </c>
      <c r="AO7" s="1" t="e">
        <f>AL7/AK7*100</f>
        <v>#DIV/0!</v>
      </c>
      <c r="AP7" s="12"/>
      <c r="AQ7" s="12"/>
      <c r="AR7" s="12"/>
      <c r="AS7" s="12"/>
      <c r="AT7" s="12"/>
      <c r="AU7" s="12"/>
      <c r="AV7" s="12"/>
      <c r="AW7" s="12"/>
      <c r="AX7" s="12"/>
      <c r="AY7" s="5"/>
    </row>
    <row r="8" spans="1:51" x14ac:dyDescent="0.35">
      <c r="T8" s="5"/>
      <c r="U8" s="4"/>
      <c r="V8" s="4"/>
      <c r="W8" s="4"/>
      <c r="X8" s="4"/>
      <c r="Y8" s="4"/>
      <c r="Z8" s="4"/>
      <c r="AA8" s="5"/>
      <c r="AB8" s="1" t="s">
        <v>50</v>
      </c>
      <c r="AC8" s="1">
        <f>COUNTIF(J2:J1048576,"=BREAK &amp; RETEST")</f>
        <v>0</v>
      </c>
      <c r="AD8" s="23">
        <f>COUNTIFS(J2:J1048576,"=BREAK &amp; RETEST",M2:M1048576,"=WIN")</f>
        <v>0</v>
      </c>
      <c r="AE8" s="24">
        <f>COUNTIFS(J2:J1048576,"=BREAK &amp; RETEST",M2:M1048576,"=LOSS")</f>
        <v>0</v>
      </c>
      <c r="AF8" s="25">
        <f>COUNTIFS(J2:J1048576,"=BREAK &amp; RETEST",M2:M1048576,"=BREAK-EVEN")</f>
        <v>0</v>
      </c>
      <c r="AG8" s="5"/>
      <c r="AH8" s="5"/>
      <c r="AI8" s="5"/>
      <c r="AP8" s="12"/>
      <c r="AQ8" s="12"/>
      <c r="AR8" s="12"/>
      <c r="AS8" s="12"/>
      <c r="AT8" s="12"/>
      <c r="AU8" s="12"/>
      <c r="AV8" s="12"/>
      <c r="AW8" s="12"/>
      <c r="AX8" s="12"/>
      <c r="AY8" s="5"/>
    </row>
    <row r="9" spans="1:51" x14ac:dyDescent="0.35">
      <c r="A9" s="8"/>
      <c r="T9" s="5"/>
      <c r="U9" s="1" t="s">
        <v>1</v>
      </c>
      <c r="V9" s="1" t="s">
        <v>24</v>
      </c>
      <c r="W9" s="23" t="s">
        <v>25</v>
      </c>
      <c r="X9" s="24" t="s">
        <v>26</v>
      </c>
      <c r="Y9" s="25" t="s">
        <v>16</v>
      </c>
      <c r="Z9" s="4"/>
      <c r="AA9" s="5"/>
      <c r="AB9" s="1" t="s">
        <v>70</v>
      </c>
      <c r="AC9" s="1">
        <f>COUNTIF(J2:J1048576,"=LIQUIDITY GRAB (PREV H/L or TRENDLINE)")</f>
        <v>0</v>
      </c>
      <c r="AD9" s="23">
        <f>COUNTIFS(J2:J1048576,"=LIQUIDITY GRAB (PREV H/L or TRENDLINE)",M2:M1048576,"=WIN")</f>
        <v>0</v>
      </c>
      <c r="AE9" s="24">
        <f>COUNTIFS(J2:J1048576,"=LIQUIDITY GRAB (PREV H/L or TRENDLINE)",M2:M1048576,"=LOSS")</f>
        <v>0</v>
      </c>
      <c r="AF9" s="25">
        <f>COUNTIFS(J2:J1048576,"=LIQUIDITY GRAB (PREV H/L or TRENDLINE)",M2:M1048576,"=BREAK-EVEN")</f>
        <v>0</v>
      </c>
      <c r="AG9" s="5"/>
      <c r="AH9" s="5"/>
      <c r="AI9" s="5"/>
      <c r="AJ9" s="1" t="s">
        <v>63</v>
      </c>
      <c r="AK9" s="36" t="s">
        <v>70</v>
      </c>
      <c r="AL9" s="36"/>
      <c r="AM9" s="36"/>
      <c r="AN9" s="36"/>
      <c r="AO9" s="36"/>
      <c r="AP9" s="12"/>
      <c r="AQ9" s="12"/>
      <c r="AR9" s="12"/>
      <c r="AS9" s="12"/>
      <c r="AT9" s="12"/>
      <c r="AU9" s="12"/>
      <c r="AV9" s="12"/>
      <c r="AW9" s="12"/>
      <c r="AX9" s="12"/>
      <c r="AY9" s="5"/>
    </row>
    <row r="10" spans="1:51" x14ac:dyDescent="0.35">
      <c r="A10" s="8"/>
      <c r="T10" s="5"/>
      <c r="U10" s="19" t="s">
        <v>23</v>
      </c>
      <c r="V10" s="19">
        <f>COUNTIF(C2:C1048576,"=LONG")</f>
        <v>0</v>
      </c>
      <c r="W10" s="23">
        <f>COUNTIFS(C2:C1048576,"=LONG",M2:M1048576,"=WIN")</f>
        <v>0</v>
      </c>
      <c r="X10" s="24">
        <f>COUNTIFS(C2:C1048576,"=LONG",M2:M1048576,"=LOSS")</f>
        <v>0</v>
      </c>
      <c r="Y10" s="25">
        <f>COUNTIFS(C2:C1048576,"=LONG",M2:M1048576,"=BREAK-EVEN")</f>
        <v>0</v>
      </c>
      <c r="Z10" s="4"/>
      <c r="AA10" s="5"/>
      <c r="AB10" s="4"/>
      <c r="AC10" s="4"/>
      <c r="AD10" s="4"/>
      <c r="AE10" s="4"/>
      <c r="AF10" s="4"/>
      <c r="AG10" s="5"/>
      <c r="AH10" s="5"/>
      <c r="AI10" s="5"/>
      <c r="AJ10" s="21" t="s">
        <v>57</v>
      </c>
      <c r="AK10" s="21">
        <f>COUNTIFS(E2:E1048576,"=LONDON",J2:J1048576,"=LIQUIDITY GRAB (PREV H/L or TRENDLINE)")</f>
        <v>0</v>
      </c>
      <c r="AL10" s="23">
        <f>COUNTIFS(E2:E1048576,"=LONDON", J2:J1048576,"=LIQUIDITY GRAB (PREV H/L or TRENDLINE)",M2:M1048576,"=WIN")</f>
        <v>0</v>
      </c>
      <c r="AM10" s="24">
        <f>COUNTIFS(E2:E1048576,"=LONDON", J2:J1048576,"=LIQUIDITY GRAB (PREV H/L or TRENDLINE)",M2:M1048576,"=LOSS")</f>
        <v>0</v>
      </c>
      <c r="AN10" s="25">
        <f>COUNTIFS(E2:E1048576,"=LONDON", J2:J1048576,"=LIQUIDITY GRAB (PREV H/L or TRENDLINE)",M2:M1048576,"=BREAK-EVEN")</f>
        <v>0</v>
      </c>
      <c r="AO10" s="1" t="e">
        <f>AL10/AK10*100</f>
        <v>#DIV/0!</v>
      </c>
      <c r="AP10" s="12"/>
      <c r="AQ10" s="12"/>
      <c r="AR10" s="12"/>
      <c r="AS10" s="12"/>
      <c r="AT10" s="12"/>
      <c r="AU10" s="12"/>
      <c r="AV10" s="12"/>
      <c r="AW10" s="12"/>
      <c r="AX10" s="12"/>
      <c r="AY10" s="5"/>
    </row>
    <row r="11" spans="1:51" x14ac:dyDescent="0.35">
      <c r="T11" s="5"/>
      <c r="U11" s="20" t="s">
        <v>28</v>
      </c>
      <c r="V11" s="20">
        <f>COUNTIF(C2:C1048576,"=SHORT")</f>
        <v>0</v>
      </c>
      <c r="W11" s="23">
        <f>COUNTIFS(C2:C1048576,"=SHORT",M2:M1048576,"=WIN")</f>
        <v>0</v>
      </c>
      <c r="X11" s="24">
        <f>COUNTIFS(C2:C1048576,"=SHORT",M2:M1048576,"=LOSS")</f>
        <v>0</v>
      </c>
      <c r="Y11" s="25">
        <f>COUNTIFS(C2:C1048576,"=SHORT",M2:M1048576,"=BREAK-EVEN")</f>
        <v>0</v>
      </c>
      <c r="Z11" s="1">
        <f>SUM(V10:V11)</f>
        <v>0</v>
      </c>
      <c r="AA11" s="5"/>
      <c r="AB11" s="1" t="s">
        <v>6</v>
      </c>
      <c r="AC11" s="1" t="s">
        <v>24</v>
      </c>
      <c r="AD11" s="23" t="s">
        <v>25</v>
      </c>
      <c r="AE11" s="24" t="s">
        <v>26</v>
      </c>
      <c r="AF11" s="25" t="s">
        <v>16</v>
      </c>
      <c r="AG11" s="5"/>
      <c r="AH11" s="5"/>
      <c r="AI11" s="5"/>
      <c r="AJ11" s="22" t="s">
        <v>56</v>
      </c>
      <c r="AK11" s="22">
        <f>COUNTIFS(E2:E1048576,"=NEW YORK",J2:J1048576,"=LIQUIDITY GRAB (PREV H/L or TRENDLINE)")</f>
        <v>0</v>
      </c>
      <c r="AL11" s="23">
        <f>COUNTIFS(E2:E1048576,"=NEW YORK", J2:J1048576,"=LIQUIDITY GRAB (PREV H/L or TRENDLINE)",M2:M1048576,"=WIN")</f>
        <v>0</v>
      </c>
      <c r="AM11" s="24">
        <f>COUNTIFS(E2:E1048576,"=NEW YORK", J2:J1048576,"=LIQUIDITY GRAB (PREV H/L or TRENDLINE)",M2:M1048576,"=LOSS")</f>
        <v>0</v>
      </c>
      <c r="AN11" s="25">
        <f>COUNTIFS(E2:E1048576,"=NEW YORK", J2:J1048576,"=LIQUIDITY GRAB (PREV H/L or TRENDLINE)",M2:M1048576,"=BREAK-EVEN")</f>
        <v>0</v>
      </c>
      <c r="AO11" s="1" t="e">
        <f>AL11/AK11*100</f>
        <v>#DIV/0!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5"/>
    </row>
    <row r="12" spans="1:51" x14ac:dyDescent="0.35">
      <c r="T12" s="5"/>
      <c r="U12" s="4"/>
      <c r="V12" s="4"/>
      <c r="W12" s="4"/>
      <c r="X12" s="4"/>
      <c r="Y12" s="4"/>
      <c r="Z12" s="4"/>
      <c r="AA12" s="5"/>
      <c r="AB12" s="1" t="s">
        <v>19</v>
      </c>
      <c r="AC12" s="1">
        <f>COUNTIF(K2:K1048576,"=ORDER BLOCK")</f>
        <v>0</v>
      </c>
      <c r="AD12" s="23">
        <f>COUNTIFS(K2:K1048576,"=ORDER BLOCK",M2:M1048576,"=WIN")</f>
        <v>0</v>
      </c>
      <c r="AE12" s="24">
        <f>COUNTIFS(K2:K1048576,"=ORDER BLOCK",M2:M1048576,"=LOSS")</f>
        <v>0</v>
      </c>
      <c r="AF12" s="25">
        <f>COUNTIFS(K2:K1048576,"=ORDER BLOCK",M2:M1048576,"=BREAK-EVEN")</f>
        <v>0</v>
      </c>
      <c r="AG12" s="5"/>
      <c r="AH12" s="5"/>
      <c r="AI12" s="5"/>
      <c r="AJ12" s="1" t="s">
        <v>69</v>
      </c>
      <c r="AK12" s="1">
        <f>COUNTIFS(E2:E1048576,"=ASIAN",J2:J1048576,"=LIQUIDITY GRAB (PREV H/L or TRENDLINE)")</f>
        <v>0</v>
      </c>
      <c r="AL12" s="23">
        <f>COUNTIFS(E2:E1048576,"=ASIAN", J2:J1048576,"=LIQUIDITY GRAB (PREV H/L or TRENDLINE)",M2:M1048576,"=WIN")</f>
        <v>0</v>
      </c>
      <c r="AM12" s="24">
        <f>COUNTIFS(E2:E1048576,"=ASIAN", J2:J1048576,"=LIQUIDITY GRAB (PREV H/L or TRENDLINE)",M2:M1048576,"=LOSS")</f>
        <v>0</v>
      </c>
      <c r="AN12" s="25">
        <f>COUNTIFS(E2:E1048576,"=ASIAN", J2:J1048576,"=LIQUIDITY GRAB (PREV H/L or TRENDLINE)",M2:M1048576,"=BREAK-EVEN")</f>
        <v>0</v>
      </c>
      <c r="AO12" s="1" t="e">
        <f>AL12/AK12*100</f>
        <v>#DIV/0!</v>
      </c>
      <c r="AP12" s="12"/>
      <c r="AQ12" s="12"/>
      <c r="AR12" s="12"/>
      <c r="AS12" s="12"/>
      <c r="AT12" s="12"/>
      <c r="AU12" s="12"/>
      <c r="AV12" s="12"/>
      <c r="AW12" s="12"/>
      <c r="AX12" s="12"/>
      <c r="AY12" s="5"/>
    </row>
    <row r="13" spans="1:51" x14ac:dyDescent="0.35">
      <c r="T13" s="5"/>
      <c r="U13" s="1" t="s">
        <v>29</v>
      </c>
      <c r="V13" s="1" t="s">
        <v>24</v>
      </c>
      <c r="W13" s="23" t="s">
        <v>25</v>
      </c>
      <c r="X13" s="24" t="s">
        <v>26</v>
      </c>
      <c r="Y13" s="25" t="s">
        <v>16</v>
      </c>
      <c r="Z13" s="4"/>
      <c r="AA13" s="5"/>
      <c r="AB13" s="1" t="s">
        <v>48</v>
      </c>
      <c r="AC13" s="1">
        <f>COUNTIF(K2:K1048576,"=BREAKER BLOCK")</f>
        <v>0</v>
      </c>
      <c r="AD13" s="23">
        <f>COUNTIFS(K2:K1048576,"=BREAKER BLOCK",M2:M1048576,"=WIN")</f>
        <v>0</v>
      </c>
      <c r="AE13" s="24">
        <f>COUNTIFS(K2:K1048576,"=BREAKER BLOCK",M2:M1048576,"=LOSS")</f>
        <v>0</v>
      </c>
      <c r="AF13" s="25">
        <f>COUNTIFS(K2:K1048576,"=BREAKER BLOCK",M2:M1048576,"=BREAK-EVEN")</f>
        <v>0</v>
      </c>
      <c r="AG13" s="5"/>
      <c r="AH13" s="5"/>
      <c r="AI13" s="5"/>
      <c r="AP13" s="12"/>
      <c r="AQ13" s="12"/>
      <c r="AR13" s="12"/>
      <c r="AS13" s="12"/>
      <c r="AT13" s="12"/>
      <c r="AU13" s="12"/>
      <c r="AV13" s="12"/>
      <c r="AW13" s="12"/>
      <c r="AX13" s="12"/>
      <c r="AY13" s="5"/>
    </row>
    <row r="14" spans="1:51" x14ac:dyDescent="0.35">
      <c r="T14" s="5"/>
      <c r="U14" s="1" t="s">
        <v>21</v>
      </c>
      <c r="V14" s="1">
        <f>COUNTIF(D2:D1048576,"=MONDAY")</f>
        <v>0</v>
      </c>
      <c r="W14" s="23">
        <f>COUNTIFS(D2:D1048576,"=MONDAY",M2:M1048576,"=WIN")</f>
        <v>0</v>
      </c>
      <c r="X14" s="24">
        <f>COUNTIFS(D2:D1048576,"=MONDAY",M2:M1048576,"=LOSS")</f>
        <v>0</v>
      </c>
      <c r="Y14" s="25">
        <f>COUNTIFS(D2:D1048576,"=MONDAY",M2:M1048576,"=BREAK-EVEN")</f>
        <v>0</v>
      </c>
      <c r="Z14" s="4"/>
      <c r="AA14" s="5"/>
      <c r="AB14" s="1" t="s">
        <v>49</v>
      </c>
      <c r="AC14" s="1">
        <f>COUNTIF(K2:K1048576,"=FVG/IMB")</f>
        <v>0</v>
      </c>
      <c r="AD14" s="23">
        <f>COUNTIFS(K2:K1048576,"=FVG/IMB",M2:M1048576,"=WIN")</f>
        <v>0</v>
      </c>
      <c r="AE14" s="24">
        <f>COUNTIFS(K2:K1048576,"=FVG/IMB",M2:M1048576,"=LOSS")</f>
        <v>0</v>
      </c>
      <c r="AF14" s="25">
        <f>COUNTIFS(K2:K1048576,"=FVG/IMB",M2:M1048576,"=BREAK-EVEN")</f>
        <v>0</v>
      </c>
      <c r="AG14" s="5"/>
      <c r="AH14" s="5"/>
      <c r="AI14" s="5"/>
      <c r="AP14" s="12"/>
      <c r="AQ14" s="12"/>
      <c r="AR14" s="12"/>
      <c r="AS14" s="12"/>
      <c r="AT14" s="12"/>
      <c r="AU14" s="12"/>
      <c r="AV14" s="12"/>
      <c r="AW14" s="12"/>
      <c r="AX14" s="12"/>
      <c r="AY14" s="5"/>
    </row>
    <row r="15" spans="1:51" x14ac:dyDescent="0.35">
      <c r="T15" s="5"/>
      <c r="U15" s="1" t="s">
        <v>30</v>
      </c>
      <c r="V15" s="1">
        <f>COUNTIF(D2:D1048576,"=TUESDAY")</f>
        <v>0</v>
      </c>
      <c r="W15" s="23">
        <f>COUNTIFS(D2:D1048576,"=TUESDAY",M2:M1048576,"=WIN")</f>
        <v>0</v>
      </c>
      <c r="X15" s="24">
        <f>COUNTIFS(D2:D1048576,"=TUESDAY",M2:M1048576,"=LOSS")</f>
        <v>0</v>
      </c>
      <c r="Y15" s="25">
        <f>COUNTIFS(D2:D1048576,"=TUESDAY",M2:M1048576,"=BREAK-EVEN")</f>
        <v>0</v>
      </c>
      <c r="Z15" s="4"/>
      <c r="AA15" s="5"/>
      <c r="AB15" s="4"/>
      <c r="AC15" s="4"/>
      <c r="AD15" s="4"/>
      <c r="AE15" s="4"/>
      <c r="AF15" s="4"/>
      <c r="AG15" s="5"/>
      <c r="AH15" s="5"/>
      <c r="AI15" s="5"/>
      <c r="AJ15" s="36" t="s">
        <v>65</v>
      </c>
      <c r="AK15" s="36"/>
      <c r="AL15" s="36"/>
      <c r="AM15" s="36"/>
      <c r="AN15" s="36"/>
      <c r="AO15" s="36"/>
      <c r="AP15" s="12"/>
      <c r="AQ15" s="12"/>
      <c r="AR15" s="12"/>
      <c r="AS15" s="12"/>
      <c r="AT15" s="12"/>
      <c r="AU15" s="12"/>
      <c r="AV15" s="12"/>
      <c r="AW15" s="12"/>
      <c r="AX15" s="12"/>
      <c r="AY15" s="5"/>
    </row>
    <row r="16" spans="1:51" x14ac:dyDescent="0.35">
      <c r="T16" s="5"/>
      <c r="U16" s="1" t="s">
        <v>22</v>
      </c>
      <c r="V16" s="1">
        <f>COUNTIF(D2:D1048576,"WEDNESDAY")</f>
        <v>0</v>
      </c>
      <c r="W16" s="23">
        <f>COUNTIFS(D2:D1048576,"=WEDNESDAY",M2:M1048576,"=WIN")</f>
        <v>0</v>
      </c>
      <c r="X16" s="24">
        <f>COUNTIFS(D2:D1048576,"=WEDNESDAY",M2:M1048576,"=LOSS")</f>
        <v>0</v>
      </c>
      <c r="Y16" s="25">
        <f>COUNTIFS(D2:D1048576,"=WEDNESDAY",M2:M1048576,"=BREAK-EVEN")</f>
        <v>0</v>
      </c>
      <c r="Z16" s="4"/>
      <c r="AA16" s="5"/>
      <c r="AB16" s="4"/>
      <c r="AC16" s="4"/>
      <c r="AD16" s="4"/>
      <c r="AE16" s="4"/>
      <c r="AF16" s="4"/>
      <c r="AG16" s="5"/>
      <c r="AH16" s="5"/>
      <c r="AI16" s="5"/>
      <c r="AJ16" s="1" t="s">
        <v>67</v>
      </c>
      <c r="AK16" s="36" t="s">
        <v>66</v>
      </c>
      <c r="AL16" s="36"/>
      <c r="AM16" s="36"/>
      <c r="AN16" s="36"/>
      <c r="AO16" s="36"/>
      <c r="AP16" s="12"/>
      <c r="AQ16" s="12"/>
      <c r="AR16" s="12"/>
      <c r="AS16" s="12"/>
      <c r="AT16" s="12"/>
      <c r="AU16" s="12"/>
      <c r="AV16" s="12"/>
      <c r="AW16" s="12"/>
      <c r="AX16" s="12"/>
      <c r="AY16" s="5"/>
    </row>
    <row r="17" spans="20:51" x14ac:dyDescent="0.35">
      <c r="T17" s="5"/>
      <c r="U17" s="1" t="s">
        <v>31</v>
      </c>
      <c r="V17" s="1">
        <f>COUNTIF(D2:D1048576,"=THURSDAY")</f>
        <v>0</v>
      </c>
      <c r="W17" s="23">
        <f>COUNTIFS(D2:D1048576,"=THURSDAY",M2:M1048576,"=WIN")</f>
        <v>0</v>
      </c>
      <c r="X17" s="24">
        <f>COUNTIFS(D2:D1048576,"=THURSDAY",M2:M1048576,"=LOSS")</f>
        <v>0</v>
      </c>
      <c r="Y17" s="25">
        <f>COUNTIFS(D2:D1048576,"=THURSDAY",M2:M1048576,"=BREAK-EVEN")</f>
        <v>0</v>
      </c>
      <c r="Z17" s="4"/>
      <c r="AA17" s="5"/>
      <c r="AB17" s="4"/>
      <c r="AC17" s="4"/>
      <c r="AD17" s="4"/>
      <c r="AE17" s="4"/>
      <c r="AF17" s="4"/>
      <c r="AG17" s="5"/>
      <c r="AH17" s="5"/>
      <c r="AI17" s="5"/>
      <c r="AK17" s="1" t="s">
        <v>24</v>
      </c>
      <c r="AL17" s="1" t="s">
        <v>58</v>
      </c>
      <c r="AM17" s="1" t="s">
        <v>26</v>
      </c>
      <c r="AN17" s="1" t="s">
        <v>64</v>
      </c>
      <c r="AO17" s="1" t="s">
        <v>51</v>
      </c>
      <c r="AP17" s="12"/>
      <c r="AQ17" s="12"/>
      <c r="AR17" s="12"/>
      <c r="AS17" s="12"/>
      <c r="AT17" s="12"/>
      <c r="AU17" s="12"/>
      <c r="AV17" s="12"/>
      <c r="AW17" s="12"/>
      <c r="AX17" s="12"/>
      <c r="AY17" s="5"/>
    </row>
    <row r="18" spans="20:51" x14ac:dyDescent="0.35">
      <c r="T18" s="5"/>
      <c r="U18" s="1" t="s">
        <v>32</v>
      </c>
      <c r="V18" s="1">
        <f>COUNTIF(D2:D1048576,"=FRIDAY")</f>
        <v>0</v>
      </c>
      <c r="W18" s="23">
        <f>COUNTIFS(D2:D1048576,"=FRIDAY",M2:M1048576,"=WIN")</f>
        <v>0</v>
      </c>
      <c r="X18" s="24">
        <f>COUNTIFS(D2:D1048576,"=FRIDAY",M2:M1048576,"=LOSS")</f>
        <v>0</v>
      </c>
      <c r="Y18" s="25">
        <f>COUNTIFS(D2:D1048576,"=FRIDAY",M2:M1048576,"=BREAK-EVEN")</f>
        <v>0</v>
      </c>
      <c r="Z18" s="1">
        <f>SUM(V14:V18)</f>
        <v>0</v>
      </c>
      <c r="AA18" s="5"/>
      <c r="AB18" s="1" t="s">
        <v>36</v>
      </c>
      <c r="AC18" s="1" t="s">
        <v>24</v>
      </c>
      <c r="AD18" s="4"/>
      <c r="AE18" s="4"/>
      <c r="AF18" s="4"/>
      <c r="AG18" s="5"/>
      <c r="AH18" s="5"/>
      <c r="AI18" s="5"/>
      <c r="AJ18" s="21" t="s">
        <v>57</v>
      </c>
      <c r="AK18" s="21">
        <f>COUNTIFS(E:E,"=LONDON",K:K,"=ORDER BLOCK")</f>
        <v>0</v>
      </c>
      <c r="AL18" s="23">
        <f>COUNTIFS(E:E,"=LONDON",K:K,"=ORDER BLOCK", M:M,"=WIN")</f>
        <v>0</v>
      </c>
      <c r="AM18" s="24">
        <f>COUNTIFS(E:E,"=LONDON",K:K,"=ORDER BLOCK", M:M,"=LOSS")</f>
        <v>0</v>
      </c>
      <c r="AN18" s="25">
        <f>COUNTIFS(E:E,"=LONDON",K:K,"=ORDER BLOCK", M:M,"=BREAK-EVEN")</f>
        <v>0</v>
      </c>
      <c r="AO18" s="1" t="e">
        <f>AL18/AK18*100</f>
        <v>#DIV/0!</v>
      </c>
      <c r="AP18" s="12"/>
      <c r="AQ18" s="12"/>
      <c r="AR18" s="12"/>
      <c r="AS18" s="12"/>
      <c r="AT18" s="12"/>
      <c r="AU18" s="12"/>
      <c r="AV18" s="12"/>
      <c r="AW18" s="12"/>
      <c r="AX18" s="12"/>
      <c r="AY18" s="5"/>
    </row>
    <row r="19" spans="20:51" x14ac:dyDescent="0.35">
      <c r="T19" s="5"/>
      <c r="U19" s="4"/>
      <c r="V19" s="4"/>
      <c r="W19" s="4"/>
      <c r="X19" s="4"/>
      <c r="Y19" s="4"/>
      <c r="Z19" s="4"/>
      <c r="AA19" s="5"/>
      <c r="AB19" s="1" t="s">
        <v>18</v>
      </c>
      <c r="AC19" s="1">
        <f>COUNTIF(L2:L1048576,"=1 MIN")</f>
        <v>0</v>
      </c>
      <c r="AD19" s="4"/>
      <c r="AE19" s="4"/>
      <c r="AF19" s="4"/>
      <c r="AG19" s="5"/>
      <c r="AH19" s="5"/>
      <c r="AI19" s="5"/>
      <c r="AJ19" s="22" t="s">
        <v>56</v>
      </c>
      <c r="AK19" s="22">
        <f>COUNTIFS(E:E,"=NEW YORK",K:K,"=ORDER BLOCK")</f>
        <v>0</v>
      </c>
      <c r="AL19" s="23">
        <f>COUNTIFS(E:E,"=NEW YORK",K:K,"=ORDER BLOCK", M:M,"=WIN")</f>
        <v>0</v>
      </c>
      <c r="AM19" s="24">
        <f>COUNTIFS(E:E,"=NEW YORK",K:K,"=ORDER BLOCK", M:M,"=LOSS")</f>
        <v>0</v>
      </c>
      <c r="AN19" s="25">
        <f>COUNTIFS(E:E,"=NEW YORK",K:K,"=ORDER BLOCK", M:M,"=BREAK-EVEN")</f>
        <v>0</v>
      </c>
      <c r="AO19" s="1" t="e">
        <f>AL19/AK19*100</f>
        <v>#DIV/0!</v>
      </c>
      <c r="AP19" s="12"/>
      <c r="AQ19" s="12"/>
      <c r="AR19" s="12"/>
      <c r="AS19" s="12"/>
      <c r="AT19" s="12"/>
      <c r="AU19" s="12"/>
      <c r="AV19" s="12"/>
      <c r="AW19" s="12"/>
      <c r="AX19" s="12"/>
      <c r="AY19" s="5"/>
    </row>
    <row r="20" spans="20:51" x14ac:dyDescent="0.35">
      <c r="T20" s="5"/>
      <c r="U20" s="4"/>
      <c r="V20" s="4"/>
      <c r="W20" s="4"/>
      <c r="X20" s="4"/>
      <c r="Y20" s="4"/>
      <c r="Z20" s="4"/>
      <c r="AA20" s="5"/>
      <c r="AB20" s="1" t="s">
        <v>44</v>
      </c>
      <c r="AC20" s="1">
        <f>COUNTIF(L2:L1048576,"=3 MIN")</f>
        <v>0</v>
      </c>
      <c r="AD20" s="4"/>
      <c r="AE20" s="4"/>
      <c r="AF20" s="4"/>
      <c r="AG20" s="5"/>
      <c r="AH20" s="5"/>
      <c r="AI20" s="5"/>
      <c r="AJ20" s="1" t="s">
        <v>69</v>
      </c>
      <c r="AK20" s="1">
        <f>COUNTIFS(E:E,"=ASIAN",K:K,"=ORDER BLOCK")</f>
        <v>0</v>
      </c>
      <c r="AL20" s="23">
        <f>COUNTIFS(E:E,"=ASIAN",K:K,"=ORDER BLOCK", M:M,"=WIN")</f>
        <v>0</v>
      </c>
      <c r="AM20" s="24">
        <f>COUNTIFS(E:E,"=ASIAN",K:K,"=ORDER BLOCK", M:M,"=LOSS")</f>
        <v>0</v>
      </c>
      <c r="AN20" s="25">
        <f>COUNTIFS(E:E,"=ASIAN",K:K,"=ORDER BLOCK", M:M,"=BREAK-EVEN")</f>
        <v>0</v>
      </c>
      <c r="AO20" s="1" t="e">
        <f>AL20/AK20*100</f>
        <v>#DIV/0!</v>
      </c>
      <c r="AP20" s="12"/>
      <c r="AQ20" s="12"/>
      <c r="AR20" s="12"/>
      <c r="AS20" s="12"/>
      <c r="AT20" s="12"/>
      <c r="AU20" s="12"/>
      <c r="AV20" s="12"/>
      <c r="AW20" s="12"/>
      <c r="AX20" s="12"/>
      <c r="AY20" s="5"/>
    </row>
    <row r="21" spans="20:51" x14ac:dyDescent="0.35">
      <c r="T21" s="5"/>
      <c r="U21" s="1" t="s">
        <v>4</v>
      </c>
      <c r="V21" s="1" t="s">
        <v>24</v>
      </c>
      <c r="W21" s="4"/>
      <c r="X21" s="4"/>
      <c r="Y21" s="4"/>
      <c r="Z21" s="4"/>
      <c r="AA21" s="5"/>
      <c r="AB21" s="1" t="s">
        <v>45</v>
      </c>
      <c r="AC21" s="1">
        <f>COUNTIF(L2:L1048576,"=5 MIN")</f>
        <v>0</v>
      </c>
      <c r="AD21" s="4"/>
      <c r="AE21" s="4"/>
      <c r="AF21" s="4"/>
      <c r="AG21" s="5"/>
      <c r="AH21" s="5"/>
      <c r="AI21" s="5"/>
      <c r="AP21" s="12"/>
      <c r="AQ21" s="12"/>
      <c r="AR21" s="12"/>
      <c r="AS21" s="12"/>
      <c r="AT21" s="12"/>
      <c r="AU21" s="12"/>
      <c r="AV21" s="12"/>
      <c r="AW21" s="12"/>
      <c r="AX21" s="12"/>
      <c r="AY21" s="5"/>
    </row>
    <row r="22" spans="20:51" x14ac:dyDescent="0.35">
      <c r="T22" s="5"/>
      <c r="U22" s="1" t="s">
        <v>33</v>
      </c>
      <c r="V22" s="1">
        <f>COUNTIF(I2:I1048576,"=SCALP")</f>
        <v>0</v>
      </c>
      <c r="W22" s="4"/>
      <c r="X22" s="4"/>
      <c r="Y22" s="4"/>
      <c r="Z22" s="4"/>
      <c r="AA22" s="5"/>
      <c r="AB22" s="1" t="s">
        <v>46</v>
      </c>
      <c r="AC22" s="1">
        <f>COUNTIF(L2:L1048576,"=15 MIN")</f>
        <v>0</v>
      </c>
      <c r="AD22" s="4"/>
      <c r="AE22" s="4"/>
      <c r="AF22" s="4"/>
      <c r="AG22" s="5"/>
      <c r="AH22" s="5"/>
      <c r="AI22" s="5"/>
      <c r="AJ22" s="1" t="s">
        <v>67</v>
      </c>
      <c r="AK22" s="36" t="s">
        <v>68</v>
      </c>
      <c r="AL22" s="36"/>
      <c r="AM22" s="36"/>
      <c r="AN22" s="36"/>
      <c r="AO22" s="36"/>
      <c r="AP22" s="12"/>
      <c r="AQ22" s="12"/>
      <c r="AR22" s="12"/>
      <c r="AS22" s="12"/>
      <c r="AT22" s="12"/>
      <c r="AU22" s="12"/>
      <c r="AV22" s="12"/>
      <c r="AW22" s="12"/>
      <c r="AX22" s="12"/>
      <c r="AY22" s="5"/>
    </row>
    <row r="23" spans="20:51" x14ac:dyDescent="0.35">
      <c r="T23" s="5"/>
      <c r="U23" s="1" t="s">
        <v>20</v>
      </c>
      <c r="V23" s="1">
        <f>COUNTIF(I2:I1048576,"=DAY")</f>
        <v>0</v>
      </c>
      <c r="W23" s="4"/>
      <c r="X23" s="4"/>
      <c r="Y23" s="4"/>
      <c r="Z23" s="4"/>
      <c r="AA23" s="5"/>
      <c r="AB23" s="1" t="s">
        <v>47</v>
      </c>
      <c r="AC23" s="1">
        <f>COUNTIF(L2:L1048576,"=30 MIN")</f>
        <v>0</v>
      </c>
      <c r="AD23" s="4"/>
      <c r="AE23" s="4"/>
      <c r="AF23" s="4"/>
      <c r="AG23" s="5"/>
      <c r="AH23" s="5"/>
      <c r="AI23" s="5"/>
      <c r="AJ23" s="21" t="s">
        <v>57</v>
      </c>
      <c r="AK23" s="21">
        <f>COUNTIFS(E:E,"=LONDON",K:K,"=BREAKER BLOCK")</f>
        <v>0</v>
      </c>
      <c r="AL23" s="23">
        <f>COUNTIFS(E:E,"=LONDON",K:K,"=BREAKER BLOCK", M:M,"=WIN")</f>
        <v>0</v>
      </c>
      <c r="AM23" s="24">
        <f>COUNTIFS(E:E,"=LONDON",K:K,"=BREAKER BLOCK", M:M,"=LOSS")</f>
        <v>0</v>
      </c>
      <c r="AN23" s="25">
        <f>COUNTIFS(E:E,"=LONDON",K:K,"=BREAKER BLOCK", M:M,"=BREAK-EVEN")</f>
        <v>0</v>
      </c>
      <c r="AO23" s="1" t="e">
        <f>AL23/AK23</f>
        <v>#DIV/0!</v>
      </c>
      <c r="AP23" s="12"/>
      <c r="AQ23" s="12"/>
      <c r="AR23" s="12"/>
      <c r="AS23" s="12"/>
      <c r="AT23" s="12"/>
      <c r="AU23" s="12"/>
      <c r="AV23" s="12"/>
      <c r="AW23" s="12"/>
      <c r="AX23" s="12"/>
      <c r="AY23" s="5"/>
    </row>
    <row r="24" spans="20:51" x14ac:dyDescent="0.35">
      <c r="T24" s="5"/>
      <c r="U24" s="1" t="s">
        <v>34</v>
      </c>
      <c r="V24" s="1">
        <f>COUNTIF(I2:I1048576,"=SWING")</f>
        <v>0</v>
      </c>
      <c r="W24" s="4"/>
      <c r="X24" s="4"/>
      <c r="Y24" s="4"/>
      <c r="Z24" s="4"/>
      <c r="AA24" s="5"/>
      <c r="AB24" s="1" t="s">
        <v>17</v>
      </c>
      <c r="AC24" s="1">
        <f>COUNTIF(L2:L1048576,"=1 HR")</f>
        <v>0</v>
      </c>
      <c r="AD24" s="4"/>
      <c r="AE24" s="4"/>
      <c r="AF24" s="4"/>
      <c r="AG24" s="5"/>
      <c r="AH24" s="5"/>
      <c r="AI24" s="5"/>
      <c r="AJ24" s="22" t="s">
        <v>56</v>
      </c>
      <c r="AK24" s="22">
        <f>COUNTIFS(E:E,"=NEW YORK",K:K,"=BREAKER BLOCK")</f>
        <v>0</v>
      </c>
      <c r="AL24" s="23">
        <f>COUNTIFS(E:E,"=NEW YORK",K:K,"=BREAKER BLOCK", M:M,"=WIN")</f>
        <v>0</v>
      </c>
      <c r="AM24" s="24">
        <f>COUNTIFS(E:E,"=NEW YORK",K:K,"=BREAKER BLOCK", M:M,"=LOSS")</f>
        <v>0</v>
      </c>
      <c r="AN24" s="25">
        <f>COUNTIFS(E:E,"=NEW YORK",K:K,"=BREAKER BLOCK", M:M,"=BREAK-EVEN")</f>
        <v>0</v>
      </c>
      <c r="AO24" s="1" t="e">
        <f>AL24/AK24*100</f>
        <v>#DIV/0!</v>
      </c>
      <c r="AP24" s="12"/>
      <c r="AQ24" s="12"/>
      <c r="AR24" s="12"/>
      <c r="AS24" s="12"/>
      <c r="AT24" s="12"/>
      <c r="AU24" s="12"/>
      <c r="AV24" s="12"/>
      <c r="AW24" s="12"/>
      <c r="AX24" s="12"/>
      <c r="AY24" s="5"/>
    </row>
    <row r="25" spans="20:51" x14ac:dyDescent="0.35">
      <c r="T25" s="5"/>
      <c r="U25" s="4"/>
      <c r="V25" s="4"/>
      <c r="W25" s="4"/>
      <c r="X25" s="4"/>
      <c r="Y25" s="4"/>
      <c r="Z25" s="4"/>
      <c r="AA25" s="5"/>
      <c r="AB25" s="4"/>
      <c r="AC25" s="4"/>
      <c r="AD25" s="4"/>
      <c r="AE25" s="4"/>
      <c r="AF25" s="4"/>
      <c r="AG25" s="5"/>
      <c r="AH25" s="5"/>
      <c r="AI25" s="5"/>
      <c r="AJ25" s="1" t="s">
        <v>69</v>
      </c>
      <c r="AK25" s="1">
        <f>COUNTIFS(E:E,"=ASIAN",K:K,"=BREAKER BLOCK")</f>
        <v>0</v>
      </c>
      <c r="AL25" s="23">
        <f>COUNTIFS(E:E,"=ASIAN",K:K,"=BREAKER BLOCK", M:M,"=WIN")</f>
        <v>0</v>
      </c>
      <c r="AM25" s="24">
        <f>COUNTIFS(E:E,"=ASIAN",K:K,"=BREAKER BLOCK", M:M,"=LOSS")</f>
        <v>0</v>
      </c>
      <c r="AN25" s="25">
        <f>COUNTIFS(E:E,"=ASIAN",K:K,"=BREAKER BLOCK", M:M,"=BREAK-EVEN")</f>
        <v>0</v>
      </c>
      <c r="AO25" s="1" t="e">
        <f>AL25/AK25*100</f>
        <v>#DIV/0!</v>
      </c>
      <c r="AP25" s="12"/>
      <c r="AQ25" s="12"/>
      <c r="AR25" s="12"/>
      <c r="AS25" s="12"/>
      <c r="AT25" s="12"/>
      <c r="AU25" s="12"/>
      <c r="AV25" s="12"/>
      <c r="AW25" s="12"/>
      <c r="AX25" s="12"/>
      <c r="AY25" s="5"/>
    </row>
    <row r="26" spans="20:51" x14ac:dyDescent="0.35">
      <c r="T26" s="5"/>
      <c r="U26" s="36" t="s">
        <v>60</v>
      </c>
      <c r="V26" s="36"/>
      <c r="W26" s="36"/>
      <c r="X26" s="36"/>
      <c r="Y26" s="36"/>
      <c r="Z26" s="36"/>
      <c r="AA26" s="5"/>
      <c r="AB26" s="1" t="s">
        <v>37</v>
      </c>
      <c r="AC26" s="1" t="s">
        <v>24</v>
      </c>
      <c r="AD26" s="4"/>
      <c r="AE26" s="4"/>
      <c r="AF26" s="4"/>
      <c r="AG26" s="5"/>
      <c r="AH26" s="5"/>
      <c r="AI26" s="5"/>
      <c r="AP26" s="12"/>
      <c r="AQ26" s="12"/>
      <c r="AR26" s="12"/>
      <c r="AS26" s="12"/>
      <c r="AT26" s="12"/>
      <c r="AU26" s="12"/>
      <c r="AV26" s="12"/>
      <c r="AW26" s="12"/>
      <c r="AX26" s="12"/>
      <c r="AY26" s="5"/>
    </row>
    <row r="27" spans="20:51" x14ac:dyDescent="0.35">
      <c r="T27" s="5"/>
      <c r="U27" s="11" t="s">
        <v>61</v>
      </c>
      <c r="V27" s="1" t="s">
        <v>24</v>
      </c>
      <c r="W27" s="23" t="s">
        <v>58</v>
      </c>
      <c r="X27" s="24" t="s">
        <v>26</v>
      </c>
      <c r="Y27" s="25" t="s">
        <v>16</v>
      </c>
      <c r="Z27" s="1" t="s">
        <v>51</v>
      </c>
      <c r="AA27" s="5"/>
      <c r="AB27" s="1" t="s">
        <v>40</v>
      </c>
      <c r="AC27" s="1">
        <f>COUNTIF(N2:N1048576,"=YES")</f>
        <v>0</v>
      </c>
      <c r="AD27" s="4"/>
      <c r="AE27" s="4"/>
      <c r="AF27" s="4"/>
      <c r="AG27" s="5"/>
      <c r="AH27" s="5"/>
      <c r="AI27" s="5"/>
      <c r="AJ27" s="7" t="s">
        <v>67</v>
      </c>
      <c r="AK27" s="37" t="s">
        <v>59</v>
      </c>
      <c r="AL27" s="37"/>
      <c r="AM27" s="37"/>
      <c r="AN27" s="37"/>
      <c r="AO27" s="37"/>
      <c r="AP27" s="12"/>
      <c r="AQ27" s="12"/>
      <c r="AR27" s="12"/>
      <c r="AS27" s="12"/>
      <c r="AT27" s="12"/>
      <c r="AU27" s="12"/>
      <c r="AV27" s="12"/>
      <c r="AW27" s="12"/>
      <c r="AX27" s="12"/>
      <c r="AY27" s="5"/>
    </row>
    <row r="28" spans="20:51" x14ac:dyDescent="0.35">
      <c r="T28" s="5"/>
      <c r="U28" s="26" t="s">
        <v>57</v>
      </c>
      <c r="V28" s="21">
        <f>COUNTIF(E2:E1048576,"LONDON")</f>
        <v>0</v>
      </c>
      <c r="W28" s="23">
        <f>COUNTIFS(E2:E1048576,"=LONDON",M2:M1048576,"=WIN")</f>
        <v>0</v>
      </c>
      <c r="X28" s="24">
        <f>COUNTIFS(E2:E1048576,"=LONDON",M2:M1048576,"=LOSS")</f>
        <v>0</v>
      </c>
      <c r="Y28" s="25">
        <f>COUNTIFS(E2:E1048576,"=LONDON",M2:M1048576,"=BREAK-EVEN")</f>
        <v>0</v>
      </c>
      <c r="Z28" s="1" t="e">
        <f>W28/V28*100</f>
        <v>#DIV/0!</v>
      </c>
      <c r="AA28" s="5"/>
      <c r="AB28" s="1" t="s">
        <v>41</v>
      </c>
      <c r="AC28" s="1">
        <f>COUNTIF(O2:O1048576,"=YES")</f>
        <v>0</v>
      </c>
      <c r="AD28" s="4"/>
      <c r="AE28" s="4"/>
      <c r="AF28" s="4"/>
      <c r="AG28" s="5"/>
      <c r="AH28" s="5"/>
      <c r="AI28" s="5"/>
      <c r="AJ28" s="21" t="s">
        <v>57</v>
      </c>
      <c r="AK28" s="21">
        <f>COUNTIFS(E:E,"=LONDON",K:K,"=FVG/IMB")</f>
        <v>0</v>
      </c>
      <c r="AL28" s="23">
        <f>COUNTIFS(E:E,"=LONDON",K:K,"=FVG/IMB", M:M,"=WIN")</f>
        <v>0</v>
      </c>
      <c r="AM28" s="24">
        <f>COUNTIFS(E:E,"=LONDON",K:K,"=FVG/IMB", M:M,"=LOSS")</f>
        <v>0</v>
      </c>
      <c r="AN28" s="25">
        <f>COUNTIFS(E:E,"=LONDON",K:K,"=FVG/IMB", M:M,"=BREAK-EVEN")</f>
        <v>0</v>
      </c>
      <c r="AO28" s="1" t="e">
        <f>AL28/AK28*100</f>
        <v>#DIV/0!</v>
      </c>
      <c r="AP28" s="12"/>
      <c r="AQ28" s="12"/>
      <c r="AR28" s="12"/>
      <c r="AS28" s="12"/>
      <c r="AT28" s="12"/>
      <c r="AU28" s="12"/>
      <c r="AV28" s="12"/>
      <c r="AW28" s="12"/>
      <c r="AX28" s="12"/>
      <c r="AY28" s="5"/>
    </row>
    <row r="29" spans="20:51" x14ac:dyDescent="0.35">
      <c r="T29" s="5"/>
      <c r="U29" s="27" t="s">
        <v>56</v>
      </c>
      <c r="V29" s="20">
        <f>COUNTIF(E2:E1048576,"NEW YORK")</f>
        <v>0</v>
      </c>
      <c r="W29" s="23">
        <f>COUNTIFS(E2:E1048576,"=NEW YORK",M2:M1048576,"=WIN")</f>
        <v>0</v>
      </c>
      <c r="X29" s="24">
        <f>COUNTIFS(E2:E1048576,"=NEW YORK",M2:M1048576,"=LOSS")</f>
        <v>0</v>
      </c>
      <c r="Y29" s="25">
        <f>COUNTIFS(E2:E1048576,"=NEW YORK",M2:M1048576,"=BREAK-EVEN")</f>
        <v>0</v>
      </c>
      <c r="Z29" s="1" t="e">
        <f>W29/V29*100</f>
        <v>#DIV/0!</v>
      </c>
      <c r="AA29" s="5"/>
      <c r="AB29" s="1" t="s">
        <v>42</v>
      </c>
      <c r="AC29" s="1">
        <f>COUNTIF(P2:P1048576,"=YES")</f>
        <v>0</v>
      </c>
      <c r="AD29" s="4"/>
      <c r="AE29" s="4"/>
      <c r="AF29" s="4"/>
      <c r="AG29" s="5"/>
      <c r="AH29" s="5"/>
      <c r="AI29" s="5"/>
      <c r="AJ29" s="22" t="s">
        <v>56</v>
      </c>
      <c r="AK29" s="22">
        <f>COUNTIFS(E:E,"=NEW YORK",K:K,"=FVG/IMB")</f>
        <v>0</v>
      </c>
      <c r="AL29" s="23">
        <f>COUNTIFS(E:E,"=NEW YORK",K:K,"=FVG/IMB", M:M,"=WIN")</f>
        <v>0</v>
      </c>
      <c r="AM29" s="24">
        <f>COUNTIFS(E:E,"=NEW YORK",K:K,"=FVG/IMB", M:M,"=LOSS")</f>
        <v>0</v>
      </c>
      <c r="AN29" s="25">
        <f>COUNTIFS(E:E,"=NEW YORK",K:K,"=FVG/IMB", M:M,"=BREAK-EVEN")</f>
        <v>0</v>
      </c>
      <c r="AO29" s="1" t="e">
        <f>AL29/AK29*100</f>
        <v>#DIV/0!</v>
      </c>
      <c r="AP29" s="12"/>
      <c r="AQ29" s="12"/>
      <c r="AR29" s="12"/>
      <c r="AS29" s="12"/>
      <c r="AT29" s="12"/>
      <c r="AU29" s="12"/>
      <c r="AV29" s="12"/>
      <c r="AW29" s="12"/>
      <c r="AX29" s="12"/>
      <c r="AY29" s="5"/>
    </row>
    <row r="30" spans="20:51" x14ac:dyDescent="0.35">
      <c r="T30" s="5"/>
      <c r="U30" s="1" t="s">
        <v>69</v>
      </c>
      <c r="V30" s="1">
        <f>COUNTIF(E2:E1048576,"ASIAN")</f>
        <v>0</v>
      </c>
      <c r="W30" s="23">
        <f>COUNTIFS(E2:E1048576,"=ASIAN",M2:M1048576,"=WIN")</f>
        <v>0</v>
      </c>
      <c r="X30" s="24">
        <f>COUNTIFS(E2:E1048576,"=ASIAN",M2:M1048576,"=LOSS")</f>
        <v>0</v>
      </c>
      <c r="Y30" s="25">
        <f>COUNTIFS(E2:E1048576,"=ASIAN",M2:M1048576,"=BREAK-EVEN")</f>
        <v>0</v>
      </c>
      <c r="Z30" s="1" t="e">
        <f>W30/V30*100</f>
        <v>#DIV/0!</v>
      </c>
      <c r="AA30" s="5"/>
      <c r="AB30" s="1" t="s">
        <v>43</v>
      </c>
      <c r="AC30" s="1">
        <f>COUNTIF(Q2:Q1048576,"=YES")</f>
        <v>0</v>
      </c>
      <c r="AD30" s="4"/>
      <c r="AE30" s="4"/>
      <c r="AF30" s="4"/>
      <c r="AG30" s="5"/>
      <c r="AH30" s="5"/>
      <c r="AI30" s="5"/>
      <c r="AJ30" s="1" t="s">
        <v>69</v>
      </c>
      <c r="AK30" s="1">
        <f>COUNTIFS(E:E,"=ASIAN",K:K,"=FVG/IMB")</f>
        <v>0</v>
      </c>
      <c r="AL30" s="23">
        <f>COUNTIFS(E:E,"=ASIAN",K:K,"=FVG/IMB", M:M,"=WIN")</f>
        <v>0</v>
      </c>
      <c r="AM30" s="24">
        <f>COUNTIFS(E:E,"=ASIAN",K:K,"=FVG/IMB", M:M,"=LOSS")</f>
        <v>0</v>
      </c>
      <c r="AN30" s="25">
        <f>COUNTIFS(E:E,"=ASIAN",K:K,"=FVG/IMB", M:M,"=BREAK-EVEN")</f>
        <v>0</v>
      </c>
      <c r="AO30" s="1" t="e">
        <f>AL30/AK30*100</f>
        <v>#DIV/0!</v>
      </c>
      <c r="AP30" s="12"/>
      <c r="AQ30" s="12"/>
      <c r="AR30" s="12"/>
      <c r="AS30" s="12"/>
      <c r="AT30" s="12"/>
      <c r="AU30" s="12"/>
      <c r="AV30" s="12"/>
      <c r="AW30" s="12"/>
      <c r="AX30" s="12"/>
      <c r="AY30" s="5"/>
    </row>
    <row r="31" spans="20:51" x14ac:dyDescent="0.35">
      <c r="T31" s="5"/>
      <c r="U31" s="4"/>
      <c r="V31" s="4"/>
      <c r="W31" s="4"/>
      <c r="X31" s="4"/>
      <c r="Y31" s="4"/>
      <c r="Z31" s="4"/>
      <c r="AA31" s="5"/>
      <c r="AB31" s="4"/>
      <c r="AC31" s="4"/>
      <c r="AD31" s="4"/>
      <c r="AE31" s="4"/>
      <c r="AF31" s="4"/>
      <c r="AG31" s="5"/>
      <c r="AH31" s="5"/>
      <c r="AI31" s="5"/>
      <c r="AP31" s="12"/>
      <c r="AQ31" s="12"/>
      <c r="AR31" s="12"/>
      <c r="AS31" s="12"/>
      <c r="AT31" s="12"/>
      <c r="AU31" s="12"/>
      <c r="AV31" s="12"/>
      <c r="AW31" s="12"/>
      <c r="AX31" s="12"/>
      <c r="AY31" s="5"/>
    </row>
    <row r="32" spans="20:51" x14ac:dyDescent="0.35">
      <c r="T32" s="5"/>
      <c r="U32" s="4"/>
      <c r="V32" s="4"/>
      <c r="W32" s="4"/>
      <c r="X32" s="4"/>
      <c r="Y32" s="4"/>
      <c r="Z32" s="4"/>
      <c r="AA32" s="5"/>
      <c r="AB32" s="4"/>
      <c r="AC32" s="4"/>
      <c r="AD32" s="4"/>
      <c r="AE32" s="4"/>
      <c r="AF32" s="4"/>
      <c r="AG32" s="5"/>
      <c r="AH32" s="5"/>
      <c r="AI32" s="5"/>
      <c r="AJ32" s="4"/>
      <c r="AK32" s="4"/>
      <c r="AL32" s="4"/>
      <c r="AM32" s="4"/>
      <c r="AN32" s="4"/>
      <c r="AO32" s="4"/>
      <c r="AP32" s="12"/>
      <c r="AQ32" s="12"/>
      <c r="AR32" s="12"/>
      <c r="AS32" s="12"/>
      <c r="AT32" s="12"/>
      <c r="AU32" s="12"/>
      <c r="AV32" s="12"/>
      <c r="AW32" s="12"/>
      <c r="AX32" s="12"/>
      <c r="AY32" s="5"/>
    </row>
    <row r="33" spans="20:51" x14ac:dyDescent="0.35">
      <c r="T33" s="5"/>
      <c r="U33" s="4"/>
      <c r="V33" s="4"/>
      <c r="W33" s="4"/>
      <c r="X33" s="4"/>
      <c r="Y33" s="4"/>
      <c r="Z33" s="4"/>
      <c r="AA33" s="5"/>
      <c r="AB33" s="4"/>
      <c r="AC33" s="4"/>
      <c r="AD33" s="4"/>
      <c r="AE33" s="4"/>
      <c r="AF33" s="4"/>
      <c r="AG33" s="5"/>
      <c r="AH33" s="5"/>
      <c r="AI33" s="5"/>
      <c r="AJ33" s="4"/>
      <c r="AK33" s="4"/>
      <c r="AL33" s="4"/>
      <c r="AM33" s="4"/>
      <c r="AN33" s="4"/>
      <c r="AO33" s="4"/>
      <c r="AP33" s="12"/>
      <c r="AQ33" s="12"/>
      <c r="AR33" s="12"/>
      <c r="AS33" s="12"/>
      <c r="AT33" s="12"/>
      <c r="AU33" s="12"/>
      <c r="AV33" s="12"/>
      <c r="AW33" s="12"/>
      <c r="AX33" s="12"/>
      <c r="AY33" s="5"/>
    </row>
    <row r="34" spans="20:51" x14ac:dyDescent="0.35">
      <c r="T34" s="5"/>
      <c r="U34" s="4"/>
      <c r="V34" s="4"/>
      <c r="W34" s="4"/>
      <c r="X34" s="4"/>
      <c r="Y34" s="4"/>
      <c r="Z34" s="4"/>
      <c r="AA34" s="5"/>
      <c r="AB34" s="4"/>
      <c r="AC34" s="4"/>
      <c r="AD34" s="4"/>
      <c r="AE34" s="4"/>
      <c r="AF34" s="4"/>
      <c r="AG34" s="5"/>
      <c r="AH34" s="5"/>
      <c r="AI34" s="5"/>
      <c r="AP34" s="5"/>
      <c r="AQ34" s="5"/>
      <c r="AR34" s="5"/>
      <c r="AS34" s="5"/>
      <c r="AT34" s="5"/>
      <c r="AU34" s="5"/>
      <c r="AV34" s="5"/>
      <c r="AW34" s="5"/>
      <c r="AX34" s="5"/>
      <c r="AY34" s="5"/>
    </row>
    <row r="35" spans="20:51" x14ac:dyDescent="0.35">
      <c r="T35" s="5"/>
      <c r="U35" s="4"/>
      <c r="V35" s="4"/>
      <c r="W35" s="4"/>
      <c r="X35" s="4"/>
      <c r="Y35" s="4"/>
      <c r="Z35" s="4"/>
      <c r="AA35" s="5"/>
      <c r="AB35" s="4"/>
      <c r="AC35" s="4"/>
      <c r="AD35" s="4"/>
      <c r="AE35" s="4"/>
      <c r="AF35" s="4"/>
      <c r="AG35" s="5"/>
      <c r="AH35" s="5"/>
      <c r="AI35" s="5"/>
      <c r="AP35" s="5"/>
      <c r="AQ35" s="5"/>
      <c r="AR35" s="5"/>
      <c r="AS35" s="5"/>
      <c r="AT35" s="5"/>
      <c r="AU35" s="5"/>
      <c r="AV35" s="5"/>
      <c r="AW35" s="5"/>
      <c r="AX35" s="5"/>
      <c r="AY35" s="5"/>
    </row>
    <row r="36" spans="20:51" x14ac:dyDescent="0.35">
      <c r="T36" s="5"/>
      <c r="U36" s="4"/>
      <c r="V36" s="4"/>
      <c r="W36" s="4"/>
      <c r="X36" s="4"/>
      <c r="Y36" s="4"/>
      <c r="Z36" s="4"/>
      <c r="AA36" s="5"/>
      <c r="AB36" s="4"/>
      <c r="AC36" s="4"/>
      <c r="AD36" s="4"/>
      <c r="AE36" s="4"/>
      <c r="AF36" s="4"/>
      <c r="AG36" s="5"/>
      <c r="AH36" s="5"/>
      <c r="AI36" s="5"/>
      <c r="AP36" s="5"/>
      <c r="AQ36" s="5"/>
      <c r="AR36" s="5"/>
      <c r="AS36" s="5"/>
      <c r="AT36" s="5"/>
      <c r="AU36" s="5"/>
      <c r="AV36" s="5"/>
      <c r="AW36" s="5"/>
      <c r="AX36" s="5"/>
      <c r="AY36" s="5"/>
    </row>
    <row r="37" spans="20:51" x14ac:dyDescent="0.35">
      <c r="T37" s="5"/>
      <c r="U37" s="4"/>
      <c r="V37" s="4"/>
      <c r="W37" s="4"/>
      <c r="X37" s="4"/>
      <c r="Y37" s="4"/>
      <c r="Z37" s="4"/>
      <c r="AA37" s="5"/>
      <c r="AB37" s="4"/>
      <c r="AC37" s="4"/>
      <c r="AD37" s="4"/>
      <c r="AE37" s="4"/>
      <c r="AF37" s="4"/>
      <c r="AG37" s="5"/>
      <c r="AH37" s="5"/>
      <c r="AI37" s="5"/>
      <c r="AP37" s="5"/>
      <c r="AQ37" s="5"/>
      <c r="AR37" s="5"/>
      <c r="AS37" s="5"/>
      <c r="AT37" s="5"/>
      <c r="AU37" s="5"/>
      <c r="AV37" s="5"/>
      <c r="AW37" s="5"/>
      <c r="AX37" s="5"/>
      <c r="AY37" s="5"/>
    </row>
    <row r="38" spans="20:51" x14ac:dyDescent="0.35">
      <c r="T38" s="5"/>
      <c r="U38" s="15"/>
      <c r="V38" s="16"/>
      <c r="W38" s="4"/>
      <c r="X38" s="4"/>
      <c r="Y38" s="4"/>
      <c r="Z38" s="4"/>
      <c r="AA38" s="5"/>
      <c r="AB38" s="4"/>
      <c r="AC38" s="4"/>
      <c r="AD38" s="4"/>
      <c r="AE38" s="4"/>
      <c r="AF38" s="4"/>
      <c r="AG38" s="5"/>
      <c r="AH38" s="5"/>
      <c r="AI38" s="5"/>
      <c r="AP38" s="5"/>
      <c r="AQ38" s="5"/>
      <c r="AR38" s="5"/>
      <c r="AS38" s="5"/>
      <c r="AT38" s="5"/>
      <c r="AU38" s="5"/>
      <c r="AV38" s="5"/>
      <c r="AW38" s="5"/>
      <c r="AX38" s="5"/>
      <c r="AY38" s="5"/>
    </row>
    <row r="39" spans="20:51" x14ac:dyDescent="0.35">
      <c r="T39" s="5"/>
      <c r="U39" s="4"/>
      <c r="V39" s="4"/>
      <c r="W39" s="4"/>
      <c r="X39" s="4"/>
      <c r="Y39" s="4"/>
      <c r="Z39" s="4"/>
      <c r="AA39" s="5"/>
      <c r="AB39" s="4"/>
      <c r="AC39" s="4"/>
      <c r="AD39" s="4"/>
      <c r="AE39" s="4"/>
      <c r="AF39" s="4"/>
      <c r="AG39" s="5"/>
      <c r="AH39" s="5"/>
      <c r="AI39" s="5"/>
      <c r="AP39" s="5"/>
      <c r="AQ39" s="5"/>
      <c r="AR39" s="5"/>
      <c r="AS39" s="5"/>
      <c r="AT39" s="5"/>
      <c r="AU39" s="5"/>
      <c r="AV39" s="5"/>
      <c r="AW39" s="5"/>
      <c r="AX39" s="5"/>
      <c r="AY39" s="5"/>
    </row>
    <row r="40" spans="20:51" x14ac:dyDescent="0.35">
      <c r="T40" s="5"/>
      <c r="U40" s="4"/>
      <c r="V40" s="4"/>
      <c r="W40" s="4"/>
      <c r="X40" s="4"/>
      <c r="Y40" s="4"/>
      <c r="Z40" s="4"/>
      <c r="AA40" s="5"/>
      <c r="AB40" s="4"/>
      <c r="AC40" s="4"/>
      <c r="AD40" s="4"/>
      <c r="AE40" s="4"/>
      <c r="AF40" s="4"/>
      <c r="AG40" s="5"/>
      <c r="AH40" s="5"/>
      <c r="AI40" s="5"/>
      <c r="AP40" s="5"/>
      <c r="AQ40" s="5"/>
      <c r="AR40" s="5"/>
      <c r="AS40" s="5"/>
      <c r="AT40" s="5"/>
      <c r="AU40" s="5"/>
      <c r="AV40" s="5"/>
      <c r="AW40" s="5"/>
      <c r="AX40" s="5"/>
      <c r="AY40" s="5"/>
    </row>
    <row r="41" spans="20:51" x14ac:dyDescent="0.35">
      <c r="T41" s="5"/>
      <c r="U41" s="4"/>
      <c r="V41" s="4"/>
      <c r="W41" s="4"/>
      <c r="X41" s="4"/>
      <c r="Y41" s="4"/>
      <c r="Z41" s="4"/>
      <c r="AA41" s="5"/>
      <c r="AG41" s="5"/>
      <c r="AH41" s="5"/>
      <c r="AI41" s="5"/>
      <c r="AP41" s="5"/>
      <c r="AQ41" s="5"/>
      <c r="AR41" s="5"/>
      <c r="AS41" s="5"/>
      <c r="AT41" s="5"/>
      <c r="AU41" s="5"/>
      <c r="AV41" s="5"/>
      <c r="AW41" s="5"/>
      <c r="AX41" s="5"/>
      <c r="AY41" s="5"/>
    </row>
    <row r="42" spans="20:51" x14ac:dyDescent="0.35">
      <c r="T42" s="5"/>
      <c r="U42" s="4"/>
      <c r="V42" s="4"/>
      <c r="W42" s="4"/>
      <c r="X42" s="4"/>
      <c r="Y42" s="4"/>
      <c r="Z42" s="4"/>
      <c r="AA42" s="5"/>
      <c r="AG42" s="5"/>
      <c r="AH42" s="5"/>
      <c r="AI42" s="5"/>
      <c r="AP42" s="5"/>
      <c r="AQ42" s="5"/>
      <c r="AR42" s="5"/>
      <c r="AS42" s="5"/>
      <c r="AT42" s="5"/>
      <c r="AU42" s="5"/>
      <c r="AV42" s="5"/>
      <c r="AW42" s="5"/>
      <c r="AX42" s="5"/>
      <c r="AY42" s="5"/>
    </row>
    <row r="46" spans="20:51" x14ac:dyDescent="0.35">
      <c r="V46" s="2"/>
    </row>
    <row r="47" spans="20:51" x14ac:dyDescent="0.35">
      <c r="U47" s="2"/>
    </row>
  </sheetData>
  <mergeCells count="9">
    <mergeCell ref="AK22:AO22"/>
    <mergeCell ref="U26:Z26"/>
    <mergeCell ref="AK27:AO27"/>
    <mergeCell ref="AB2:AC2"/>
    <mergeCell ref="AJ2:AN2"/>
    <mergeCell ref="AK3:AO3"/>
    <mergeCell ref="AK9:AO9"/>
    <mergeCell ref="AJ15:AO15"/>
    <mergeCell ref="AK16:AO16"/>
  </mergeCells>
  <dataValidations count="12">
    <dataValidation type="list" showInputMessage="1" showErrorMessage="1" sqref="J4" xr:uid="{E3F6C602-64FA-4CD4-98FB-F0F017082157}">
      <formula1>"BREAK &amp; RETEST, LIQUIDITY GRAB (PREV H/L or TRENDLINE)"</formula1>
    </dataValidation>
    <dataValidation type="date" allowBlank="1" showInputMessage="1" showErrorMessage="1" sqref="A2:A1048576" xr:uid="{E14057E5-1874-4DF2-A01A-F40C811003AD}">
      <formula1>38353</formula1>
      <formula2>45291</formula2>
    </dataValidation>
    <dataValidation type="list" showInputMessage="1" showErrorMessage="1" sqref="B2:B1048576" xr:uid="{965E6410-EA7E-4239-B01F-3C8B80B0C7C4}">
      <formula1>"OIL"</formula1>
    </dataValidation>
    <dataValidation type="list" showInputMessage="1" showErrorMessage="1" sqref="C1:C1048576" xr:uid="{6E8ACDA3-6D57-4D74-8800-C73D881FE628}">
      <formula1>"LONG, SHORT"</formula1>
    </dataValidation>
    <dataValidation type="list" showInputMessage="1" showErrorMessage="1" sqref="D2:D1048576" xr:uid="{65E4C75D-5AFF-4FA1-90F8-BE23A4207047}">
      <formula1>"MONDAY, TUESDAY, WEDNESDAY, THURSDAY, FRIDAY"</formula1>
    </dataValidation>
    <dataValidation type="list" showInputMessage="1" showErrorMessage="1" sqref="E2:E1048576" xr:uid="{C55EBEE4-8919-4F47-A780-E9C46DFA82A4}">
      <formula1>"LONDON, NEW YORK, ASIAN"</formula1>
    </dataValidation>
    <dataValidation type="list" showInputMessage="1" showErrorMessage="1" sqref="I2:I1048576" xr:uid="{0CFC2E9A-BA3E-48BD-84DF-D4D314BD2B0D}">
      <formula1>"SCALP, DAY, SWING"</formula1>
    </dataValidation>
    <dataValidation type="list" showInputMessage="1" showErrorMessage="1" sqref="J2:J3 J5:J1048576" xr:uid="{C95FD584-A362-450C-9437-DF08B49C809B}">
      <formula1>"BREAK &amp; RETEST, LIQUIDITY GRAB (PREV H L or TRENDLINE)"</formula1>
    </dataValidation>
    <dataValidation type="list" showInputMessage="1" showErrorMessage="1" sqref="K2:K1048576" xr:uid="{39C34C29-7D6B-4C20-8A2F-246B940D5D68}">
      <formula1>"ORDER BLOCK, BREAKER BLOCK, FVG/IMB"</formula1>
    </dataValidation>
    <dataValidation type="list" showInputMessage="1" showErrorMessage="1" sqref="L2:L1048576" xr:uid="{173D3A23-3F66-4EA1-9EBE-DF14B8704A07}">
      <formula1>"1 MIN, 3 MIN, 5 MIN, 15 MIN, 30 MIN, 1 HR"</formula1>
    </dataValidation>
    <dataValidation type="list" showInputMessage="1" showErrorMessage="1" sqref="N2:Q1048576" xr:uid="{6812B59D-5C87-4B95-8CC3-CDA540538DC3}">
      <formula1>"YES, NO"</formula1>
    </dataValidation>
    <dataValidation type="list" showInputMessage="1" showErrorMessage="1" sqref="M2:M1048576" xr:uid="{1EC4FDB3-816B-445A-9454-58CED082F7B9}">
      <formula1>"WIN, LOSS, BREAK-EVEN"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82188-67FF-4D62-9F66-9570F19D7779}">
  <dimension ref="A1:AY51"/>
  <sheetViews>
    <sheetView zoomScale="70" zoomScaleNormal="70" workbookViewId="0">
      <selection activeCell="E1" sqref="E1:E1048576"/>
    </sheetView>
  </sheetViews>
  <sheetFormatPr defaultRowHeight="14.5" x14ac:dyDescent="0.35"/>
  <cols>
    <col min="1" max="1" width="12" style="3" customWidth="1"/>
    <col min="2" max="2" width="9.26953125" style="3" customWidth="1"/>
    <col min="3" max="3" width="10.26953125" style="3" customWidth="1"/>
    <col min="4" max="4" width="11.1796875" style="3" customWidth="1"/>
    <col min="5" max="5" width="15.6328125" style="30" customWidth="1"/>
    <col min="6" max="6" width="10.90625" style="3" customWidth="1"/>
    <col min="7" max="7" width="14.6328125" style="3" customWidth="1"/>
    <col min="8" max="8" width="15.453125" style="3" customWidth="1"/>
    <col min="9" max="9" width="12.08984375" style="3" customWidth="1"/>
    <col min="10" max="10" width="33.81640625" style="3" customWidth="1"/>
    <col min="11" max="11" width="16.90625" style="3" customWidth="1"/>
    <col min="12" max="12" width="15.90625" style="3" customWidth="1"/>
    <col min="13" max="13" width="11.54296875" style="3" customWidth="1"/>
    <col min="14" max="16" width="8.7265625" style="3"/>
    <col min="17" max="17" width="14.26953125" style="3" customWidth="1"/>
    <col min="18" max="18" width="36.453125" style="3" customWidth="1"/>
    <col min="19" max="19" width="39" style="3" customWidth="1"/>
    <col min="20" max="20" width="8.7265625" style="3"/>
    <col min="21" max="21" width="15.90625" style="1" customWidth="1"/>
    <col min="22" max="22" width="12.81640625" style="1" customWidth="1"/>
    <col min="23" max="24" width="8.7265625" style="1"/>
    <col min="25" max="25" width="11.6328125" style="1" customWidth="1"/>
    <col min="26" max="26" width="14.90625" style="1" customWidth="1"/>
    <col min="27" max="27" width="18.6328125" style="3" customWidth="1"/>
    <col min="28" max="28" width="35.90625" style="1" customWidth="1"/>
    <col min="29" max="29" width="18.36328125" style="1" customWidth="1"/>
    <col min="30" max="30" width="10.90625" style="1" customWidth="1"/>
    <col min="31" max="31" width="12.26953125" style="1" customWidth="1"/>
    <col min="32" max="32" width="12.6328125" style="1" customWidth="1"/>
    <col min="33" max="35" width="8.7265625" style="3"/>
    <col min="36" max="36" width="20.1796875" style="33" customWidth="1"/>
    <col min="37" max="37" width="11.90625" style="33" customWidth="1"/>
    <col min="38" max="38" width="16.7265625" style="1" customWidth="1"/>
    <col min="39" max="39" width="20.36328125" style="1" customWidth="1"/>
    <col min="40" max="40" width="17.36328125" style="1" customWidth="1"/>
    <col min="41" max="41" width="15.6328125" style="1" customWidth="1"/>
    <col min="42" max="42" width="8.7265625" style="3"/>
    <col min="43" max="43" width="18.6328125" style="34" customWidth="1"/>
    <col min="44" max="44" width="10.453125" style="33" customWidth="1"/>
    <col min="45" max="45" width="11.1796875" style="1" customWidth="1"/>
    <col min="46" max="46" width="10.54296875" style="1" customWidth="1"/>
    <col min="47" max="47" width="11.36328125" style="1" customWidth="1"/>
    <col min="48" max="48" width="15.26953125" style="1" customWidth="1"/>
    <col min="49" max="16384" width="8.7265625" style="3"/>
  </cols>
  <sheetData>
    <row r="1" spans="1:51" x14ac:dyDescent="0.35">
      <c r="A1" s="1" t="s">
        <v>54</v>
      </c>
      <c r="B1" s="1" t="s">
        <v>0</v>
      </c>
      <c r="C1" s="1" t="s">
        <v>1</v>
      </c>
      <c r="D1" s="1" t="s">
        <v>2</v>
      </c>
      <c r="E1" s="28" t="s">
        <v>55</v>
      </c>
      <c r="F1" s="1" t="s">
        <v>72</v>
      </c>
      <c r="G1" s="1" t="s">
        <v>73</v>
      </c>
      <c r="H1" s="1" t="s">
        <v>52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15</v>
      </c>
      <c r="R1" s="1" t="s">
        <v>13</v>
      </c>
      <c r="S1" s="1" t="s">
        <v>14</v>
      </c>
      <c r="T1" s="5"/>
      <c r="U1" s="4"/>
      <c r="V1" s="4"/>
      <c r="W1" s="4"/>
      <c r="X1" s="4"/>
      <c r="Y1" s="4"/>
      <c r="Z1" s="4"/>
      <c r="AA1" s="5"/>
      <c r="AB1" s="4"/>
      <c r="AC1" s="4"/>
      <c r="AD1" s="4"/>
      <c r="AE1" s="4"/>
      <c r="AF1" s="4"/>
      <c r="AG1" s="5"/>
      <c r="AH1" s="5"/>
      <c r="AI1" s="5"/>
      <c r="AJ1" s="35"/>
      <c r="AK1" s="35"/>
      <c r="AL1" s="4"/>
      <c r="AM1" s="4"/>
      <c r="AN1" s="4"/>
      <c r="AO1" s="4"/>
      <c r="AP1" s="5"/>
      <c r="AQ1" s="32"/>
      <c r="AR1" s="35"/>
      <c r="AS1" s="4"/>
      <c r="AT1" s="4"/>
      <c r="AU1" s="4"/>
      <c r="AV1" s="4"/>
      <c r="AW1" s="5"/>
      <c r="AX1" s="5"/>
      <c r="AY1" s="5"/>
    </row>
    <row r="2" spans="1:51" x14ac:dyDescent="0.35">
      <c r="A2" s="8"/>
      <c r="B2" s="3" t="s">
        <v>71</v>
      </c>
      <c r="D2" s="3" t="s">
        <v>21</v>
      </c>
      <c r="E2" s="29"/>
      <c r="J2" s="3" t="s">
        <v>50</v>
      </c>
      <c r="M2" s="3" t="s">
        <v>58</v>
      </c>
      <c r="R2" s="14"/>
      <c r="S2" s="6"/>
      <c r="T2" s="5"/>
      <c r="U2" s="1" t="s">
        <v>27</v>
      </c>
      <c r="V2" s="1" t="s">
        <v>24</v>
      </c>
      <c r="W2" s="4"/>
      <c r="X2" s="4"/>
      <c r="Y2" s="4"/>
      <c r="Z2" s="4"/>
      <c r="AA2" s="5"/>
      <c r="AB2" s="36" t="s">
        <v>38</v>
      </c>
      <c r="AC2" s="36"/>
      <c r="AD2" s="4"/>
      <c r="AE2" s="4"/>
      <c r="AF2" s="4"/>
      <c r="AG2" s="5"/>
      <c r="AH2" s="5"/>
      <c r="AI2" s="5"/>
      <c r="AJ2" s="36" t="s">
        <v>76</v>
      </c>
      <c r="AK2" s="36"/>
      <c r="AL2" s="36"/>
      <c r="AM2" s="36"/>
      <c r="AN2" s="36"/>
      <c r="AP2" s="12"/>
      <c r="AQ2" s="36" t="s">
        <v>77</v>
      </c>
      <c r="AR2" s="36"/>
      <c r="AS2" s="36"/>
      <c r="AT2" s="36"/>
      <c r="AU2" s="36"/>
      <c r="AV2" s="36"/>
      <c r="AW2" s="12"/>
      <c r="AX2" s="12"/>
      <c r="AY2" s="5"/>
    </row>
    <row r="3" spans="1:51" x14ac:dyDescent="0.35">
      <c r="E3" s="29"/>
      <c r="R3" s="14"/>
      <c r="S3" s="13"/>
      <c r="T3" s="5"/>
      <c r="U3" s="23" t="s">
        <v>25</v>
      </c>
      <c r="V3" s="23">
        <f>COUNTIF(M2:M1048576,"=WIN")</f>
        <v>1</v>
      </c>
      <c r="W3" s="4"/>
      <c r="X3" s="4"/>
      <c r="Y3" s="4"/>
      <c r="Z3" s="4"/>
      <c r="AA3" s="5"/>
      <c r="AB3" s="24" t="s">
        <v>39</v>
      </c>
      <c r="AC3" s="1" t="e">
        <f>AVERAGE(F2:F1048576)</f>
        <v>#DIV/0!</v>
      </c>
      <c r="AD3" s="4"/>
      <c r="AE3" s="4"/>
      <c r="AF3" s="4"/>
      <c r="AG3" s="5"/>
      <c r="AH3" s="5"/>
      <c r="AI3" s="5"/>
      <c r="AJ3" s="33" t="s">
        <v>63</v>
      </c>
      <c r="AK3" s="36" t="s">
        <v>50</v>
      </c>
      <c r="AL3" s="36"/>
      <c r="AM3" s="36"/>
      <c r="AN3" s="36"/>
      <c r="AO3" s="36"/>
      <c r="AP3" s="12"/>
      <c r="AQ3" s="33" t="s">
        <v>67</v>
      </c>
      <c r="AR3" s="36" t="s">
        <v>66</v>
      </c>
      <c r="AS3" s="36"/>
      <c r="AT3" s="36"/>
      <c r="AU3" s="36"/>
      <c r="AV3" s="36"/>
      <c r="AW3" s="12"/>
      <c r="AX3" s="12"/>
      <c r="AY3" s="5"/>
    </row>
    <row r="4" spans="1:51" x14ac:dyDescent="0.35">
      <c r="C4" s="18"/>
      <c r="T4" s="5"/>
      <c r="U4" s="24" t="s">
        <v>26</v>
      </c>
      <c r="V4" s="24">
        <f>COUNTIF(M2:M1048576,"=LOSS")</f>
        <v>0</v>
      </c>
      <c r="W4" s="4"/>
      <c r="X4" s="4"/>
      <c r="Y4" s="4"/>
      <c r="Z4" s="4"/>
      <c r="AA4" s="5"/>
      <c r="AB4" s="25" t="s">
        <v>52</v>
      </c>
      <c r="AC4" s="1" t="e">
        <f>AVERAGE(H2:H1048576)</f>
        <v>#DIV/0!</v>
      </c>
      <c r="AD4" s="4"/>
      <c r="AE4" s="4"/>
      <c r="AF4" s="4"/>
      <c r="AG4" s="5"/>
      <c r="AH4" s="5"/>
      <c r="AI4" s="5"/>
      <c r="AK4" s="33" t="s">
        <v>24</v>
      </c>
      <c r="AL4" s="23" t="s">
        <v>58</v>
      </c>
      <c r="AM4" s="24" t="s">
        <v>26</v>
      </c>
      <c r="AN4" s="25" t="s">
        <v>64</v>
      </c>
      <c r="AO4" s="1" t="s">
        <v>51</v>
      </c>
      <c r="AP4" s="12"/>
      <c r="AQ4" s="33"/>
      <c r="AR4" s="33" t="s">
        <v>24</v>
      </c>
      <c r="AS4" s="1" t="s">
        <v>58</v>
      </c>
      <c r="AT4" s="1" t="s">
        <v>26</v>
      </c>
      <c r="AU4" s="1" t="s">
        <v>64</v>
      </c>
      <c r="AV4" s="1" t="s">
        <v>51</v>
      </c>
      <c r="AW4" s="12"/>
      <c r="AX4" s="12"/>
      <c r="AY4" s="5"/>
    </row>
    <row r="5" spans="1:51" x14ac:dyDescent="0.35">
      <c r="C5" s="17"/>
      <c r="E5" s="31"/>
      <c r="T5" s="5"/>
      <c r="U5" s="25" t="s">
        <v>16</v>
      </c>
      <c r="V5" s="25">
        <f>COUNTIF(M2:M1048576,"=BREAK-EVEN")</f>
        <v>0</v>
      </c>
      <c r="W5" s="1">
        <f>SUM(V3:V5)</f>
        <v>1</v>
      </c>
      <c r="X5" s="4"/>
      <c r="Y5" s="4"/>
      <c r="Z5" s="4"/>
      <c r="AA5" s="5"/>
      <c r="AB5" s="23" t="s">
        <v>53</v>
      </c>
      <c r="AC5" s="1" t="e">
        <f>AVERAGE(G2:G1048576)</f>
        <v>#DIV/0!</v>
      </c>
      <c r="AD5" s="4"/>
      <c r="AE5" s="4"/>
      <c r="AF5" s="4"/>
      <c r="AG5" s="5"/>
      <c r="AH5" s="5"/>
      <c r="AI5" s="5"/>
      <c r="AJ5" s="33" t="s">
        <v>21</v>
      </c>
      <c r="AK5" s="33">
        <f>COUNTIFS(D:D,"=MONDAY", J:J,"=BREAK &amp; RETEST")</f>
        <v>1</v>
      </c>
      <c r="AL5" s="23">
        <f>COUNTIFS(D:D,"=MONDAY", J:J,"=BREAK &amp; RETEST",M:M,"=WIN")</f>
        <v>1</v>
      </c>
      <c r="AM5" s="24">
        <f>COUNTIFS(D:D,"=MONDAY", J:J,"=BREAK &amp; RETEST",M:M,"=LOSS")</f>
        <v>0</v>
      </c>
      <c r="AN5" s="25">
        <f>COUNTIFS(E:E,"=MONDAY", J:J,"=BREAK &amp; RETEST",M:M,"=BREAK-EVEN")</f>
        <v>0</v>
      </c>
      <c r="AO5" s="1">
        <f>AL5/AK5*100</f>
        <v>100</v>
      </c>
      <c r="AP5" s="12"/>
      <c r="AQ5" s="33" t="s">
        <v>21</v>
      </c>
      <c r="AR5" s="33">
        <f>COUNTIFS(D:D,"=MONDAY",K:K,"=ORDER BLOCK")</f>
        <v>0</v>
      </c>
      <c r="AS5" s="23">
        <f>COUNTIFS(D:D,"=MONDAY",K:K,"=ORDER BLOCK", M:M,"=WIN")</f>
        <v>0</v>
      </c>
      <c r="AT5" s="24">
        <f>COUNTIFS(D:D,"=MONDAY",K:K,"=ORDER BLOCK", M:M,"=LOSS")</f>
        <v>0</v>
      </c>
      <c r="AU5" s="25">
        <f>COUNTIFS(D:D,"=MONDAY",K:K,"=ORDER BLOCK", M:M,"=BREAK-EVEN")</f>
        <v>0</v>
      </c>
      <c r="AV5" s="1" t="e">
        <f>AS5/AR5*100</f>
        <v>#DIV/0!</v>
      </c>
      <c r="AW5" s="12"/>
      <c r="AX5" s="12"/>
      <c r="AY5" s="5"/>
    </row>
    <row r="6" spans="1:51" x14ac:dyDescent="0.35">
      <c r="A6" s="8"/>
      <c r="E6" s="31"/>
      <c r="T6" s="5"/>
      <c r="U6" s="4"/>
      <c r="V6" s="4"/>
      <c r="W6" s="4"/>
      <c r="X6" s="4"/>
      <c r="Y6" s="4"/>
      <c r="Z6" s="4"/>
      <c r="AA6" s="5"/>
      <c r="AB6" s="4"/>
      <c r="AC6" s="4"/>
      <c r="AD6" s="4"/>
      <c r="AE6" s="4"/>
      <c r="AF6" s="4"/>
      <c r="AG6" s="5"/>
      <c r="AH6" s="5"/>
      <c r="AI6" s="5"/>
      <c r="AJ6" s="33" t="s">
        <v>30</v>
      </c>
      <c r="AK6" s="33">
        <f>COUNTIFS(D:D,"=TUESDAY", J:J,"=BREAK &amp; RETEST")</f>
        <v>0</v>
      </c>
      <c r="AL6" s="23">
        <f>COUNTIFS(D:D,"=TUESDAY", J:J,"=BREAK &amp; RETEST",M:M,"=WIN")</f>
        <v>0</v>
      </c>
      <c r="AM6" s="24">
        <f>COUNTIFS(D:D,"=TUESDAY", J:J,"=BREAK &amp; RETEST",M:M,"=LOSS")</f>
        <v>0</v>
      </c>
      <c r="AN6" s="25">
        <f>COUNTIFS(E:E,"=TUESDAY", J:J,"=BREAK &amp; RETEST",M:M,"=BREAK-EVEN")</f>
        <v>0</v>
      </c>
      <c r="AO6" s="1" t="e">
        <f>AL6/AK6*100</f>
        <v>#DIV/0!</v>
      </c>
      <c r="AP6" s="12"/>
      <c r="AQ6" s="33" t="s">
        <v>30</v>
      </c>
      <c r="AR6" s="33">
        <f>COUNTIFS(D:D,"=TUESDAY",K:K,"=ORDER BLOCK")</f>
        <v>0</v>
      </c>
      <c r="AS6" s="23">
        <f>COUNTIFS(D:D,"=TUESDAY",K:K,"=ORDER BLOCK", M:M,"=WIN")</f>
        <v>0</v>
      </c>
      <c r="AT6" s="24">
        <f>COUNTIFS(D:D,"=TUESDAY",K:K,"=ORDER BLOCK", M:M,"=LOSS")</f>
        <v>0</v>
      </c>
      <c r="AU6" s="25">
        <f>COUNTIFS(D:D,"=TUESDAY",K:K,"=ORDER BLOCK", M:M,"=BREAK-EVEN")</f>
        <v>0</v>
      </c>
      <c r="AV6" s="1" t="e">
        <f>AS6/AR6*100</f>
        <v>#DIV/0!</v>
      </c>
      <c r="AW6" s="12"/>
      <c r="AX6" s="12"/>
      <c r="AY6" s="5"/>
    </row>
    <row r="7" spans="1:51" x14ac:dyDescent="0.35">
      <c r="T7" s="5"/>
      <c r="U7" s="1" t="s">
        <v>51</v>
      </c>
      <c r="V7" s="1">
        <f>V3/W5*100</f>
        <v>100</v>
      </c>
      <c r="W7" s="4"/>
      <c r="X7" s="4"/>
      <c r="Y7" s="4"/>
      <c r="Z7" s="4"/>
      <c r="AA7" s="5"/>
      <c r="AB7" s="1" t="s">
        <v>35</v>
      </c>
      <c r="AC7" s="1" t="s">
        <v>24</v>
      </c>
      <c r="AD7" s="23" t="s">
        <v>25</v>
      </c>
      <c r="AE7" s="24" t="s">
        <v>26</v>
      </c>
      <c r="AF7" s="25" t="s">
        <v>16</v>
      </c>
      <c r="AG7" s="5"/>
      <c r="AH7" s="5"/>
      <c r="AI7" s="5"/>
      <c r="AJ7" s="33" t="s">
        <v>22</v>
      </c>
      <c r="AK7" s="33">
        <f>COUNTIFS(D:D,"=WEDNESDAY", J:J,"=BREAK &amp; RETEST")</f>
        <v>0</v>
      </c>
      <c r="AL7" s="23">
        <f>COUNTIFS(D:D,"=WEDNESDAY", J:J,"=BREAK &amp; RETEST",M:M,"=WIN")</f>
        <v>0</v>
      </c>
      <c r="AM7" s="24">
        <f>COUNTIFS(D:D,"=WEDNESDAY", J:J,"=BREAK &amp; RETEST",M:M,"=LOSS")</f>
        <v>0</v>
      </c>
      <c r="AN7" s="25">
        <f>COUNTIFS(E:E,"=WEDNESDAY", J:J,"=BREAK &amp; RETEST",M:M,"=BREAK-EVEN")</f>
        <v>0</v>
      </c>
      <c r="AO7" s="1" t="e">
        <f>AL7/AK7*100</f>
        <v>#DIV/0!</v>
      </c>
      <c r="AP7" s="12"/>
      <c r="AQ7" s="33" t="s">
        <v>22</v>
      </c>
      <c r="AR7" s="33">
        <f>COUNTIFS(D:D,"=WEDNESDAY",K:K,"=ORDER BLOCK")</f>
        <v>0</v>
      </c>
      <c r="AS7" s="23">
        <f>COUNTIFS(D:D,"=WEDNESDAY",K:K,"=ORDER BLOCK", M:M,"=WIN")</f>
        <v>0</v>
      </c>
      <c r="AT7" s="24">
        <f>COUNTIFS(D:D,"=WEDNESDAY",K:K,"=ORDER BLOCK", M:M,"=LOSS")</f>
        <v>0</v>
      </c>
      <c r="AU7" s="25">
        <f>COUNTIFS(D:D,"=WEDNESDAY",K:K,"=ORDER BLOCK", M:M,"=BREAK-EVEN")</f>
        <v>0</v>
      </c>
      <c r="AV7" s="1" t="e">
        <f>AS7/AR7*100</f>
        <v>#DIV/0!</v>
      </c>
      <c r="AW7" s="12"/>
      <c r="AX7" s="12"/>
      <c r="AY7" s="5"/>
    </row>
    <row r="8" spans="1:51" x14ac:dyDescent="0.35">
      <c r="T8" s="5"/>
      <c r="U8" s="4"/>
      <c r="V8" s="4"/>
      <c r="W8" s="4"/>
      <c r="X8" s="4"/>
      <c r="Y8" s="4"/>
      <c r="Z8" s="4"/>
      <c r="AA8" s="5"/>
      <c r="AB8" s="1" t="s">
        <v>50</v>
      </c>
      <c r="AC8" s="1">
        <f>COUNTIF(J2:J1048576,"=BREAK &amp; RETEST")</f>
        <v>1</v>
      </c>
      <c r="AD8" s="23">
        <f>COUNTIFS(J2:J1048576,"=BREAK &amp; RETEST",M2:M1048576,"=WIN")</f>
        <v>1</v>
      </c>
      <c r="AE8" s="24">
        <f>COUNTIFS(J2:J1048576,"=BREAK &amp; RETEST",M2:M1048576,"=LOSS")</f>
        <v>0</v>
      </c>
      <c r="AF8" s="25">
        <f>COUNTIFS(J2:J1048576,"=BREAK &amp; RETEST",M2:M1048576,"=BREAK-EVEN")</f>
        <v>0</v>
      </c>
      <c r="AG8" s="5"/>
      <c r="AH8" s="5"/>
      <c r="AI8" s="5"/>
      <c r="AJ8" s="33" t="s">
        <v>31</v>
      </c>
      <c r="AK8" s="33">
        <f>COUNTIFS(D:D,"=THURSDAY", J:J,"=BREAK &amp; RETEST")</f>
        <v>0</v>
      </c>
      <c r="AL8" s="23">
        <f>COUNTIFS(D:D,"=THURSDAY", J:J,"=BREAK &amp; RETEST",M:M,"=WIN")</f>
        <v>0</v>
      </c>
      <c r="AM8" s="24">
        <f>COUNTIFS(D:D,"=THURSDAY", J:J,"=BREAK &amp; RETEST",M:M,"=LOSS")</f>
        <v>0</v>
      </c>
      <c r="AN8" s="25">
        <f>COUNTIFS(E:E,"=THURSDAY", J:J,"=BREAK &amp; RETEST",M:M,"=BREAK-EVEN")</f>
        <v>0</v>
      </c>
      <c r="AO8" s="1" t="e">
        <f>AL8/AK8*100</f>
        <v>#DIV/0!</v>
      </c>
      <c r="AP8" s="12"/>
      <c r="AQ8" s="33" t="s">
        <v>31</v>
      </c>
      <c r="AR8" s="33">
        <f>COUNTIFS(D:D,"=THURSDAY",K:K,"=ORDER BLOCK")</f>
        <v>0</v>
      </c>
      <c r="AS8" s="23">
        <f>COUNTIFS(D:D,"=THURSDAY",K:K,"=ORDER BLOCK", M:M,"=WIN")</f>
        <v>0</v>
      </c>
      <c r="AT8" s="24">
        <f>COUNTIFS(D:D,"=THURSDAY",K:K,"=ORDER BLOCK", M:M,"=LOSS")</f>
        <v>0</v>
      </c>
      <c r="AU8" s="25">
        <f>COUNTIFS(D:D,"=THURSDAY",K:K,"=ORDER BLOCK", M:M,"=BREAK-EVEN")</f>
        <v>0</v>
      </c>
      <c r="AV8" s="1" t="e">
        <f t="shared" ref="AV8:AV11" si="0">AS8/AR8*100</f>
        <v>#DIV/0!</v>
      </c>
      <c r="AW8" s="12"/>
      <c r="AX8" s="12"/>
      <c r="AY8" s="5"/>
    </row>
    <row r="9" spans="1:51" x14ac:dyDescent="0.35">
      <c r="A9" s="8"/>
      <c r="T9" s="5"/>
      <c r="U9" s="1" t="s">
        <v>1</v>
      </c>
      <c r="V9" s="1" t="s">
        <v>24</v>
      </c>
      <c r="W9" s="23" t="s">
        <v>25</v>
      </c>
      <c r="X9" s="24" t="s">
        <v>26</v>
      </c>
      <c r="Y9" s="25" t="s">
        <v>16</v>
      </c>
      <c r="Z9" s="4"/>
      <c r="AA9" s="5"/>
      <c r="AB9" s="1" t="s">
        <v>70</v>
      </c>
      <c r="AC9" s="1">
        <f>COUNTIF(J2:J1048576,"=LIQUIDITY GRAB (PREV H/L or TRENDLINE)")</f>
        <v>0</v>
      </c>
      <c r="AD9" s="23">
        <f>COUNTIFS(J2:J1048576,"=LIQUIDITY GRAB (PREV H/L or TRENDLINE)",M2:M1048576,"=WIN")</f>
        <v>0</v>
      </c>
      <c r="AE9" s="24">
        <f>COUNTIFS(J2:J1048576,"=LIQUIDITY GRAB (PREV H/L or TRENDLINE)",M2:M1048576,"=LOSS")</f>
        <v>0</v>
      </c>
      <c r="AF9" s="25">
        <f>COUNTIFS(J2:J1048576,"=LIQUIDITY GRAB (PREV H/L or TRENDLINE)",M2:M1048576,"=BREAK-EVEN")</f>
        <v>0</v>
      </c>
      <c r="AG9" s="5"/>
      <c r="AH9" s="5"/>
      <c r="AI9" s="5"/>
      <c r="AJ9" s="33" t="s">
        <v>32</v>
      </c>
      <c r="AK9" s="33">
        <f>COUNTIFS(D:D,"=FRIDAY", J:J,"=BREAK &amp; RETEST")</f>
        <v>0</v>
      </c>
      <c r="AL9" s="23">
        <f>COUNTIFS(D:D,"=FRIDAY", J:J,"=BREAK &amp; RETEST",M:M,"=WIN")</f>
        <v>0</v>
      </c>
      <c r="AM9" s="24">
        <f>COUNTIFS(D:D,"=FRIDAY", J:J,"=BREAK &amp; RETEST",M:M,"=LOSS")</f>
        <v>0</v>
      </c>
      <c r="AN9" s="25">
        <f>COUNTIFS(E:E,"=FRIDAY", J:J,"=BREAK &amp; RETEST",M:M,"=BREAK-EVEN")</f>
        <v>0</v>
      </c>
      <c r="AO9" s="1" t="e">
        <f t="shared" ref="AO9:AO12" si="1">AL9/AK9*100</f>
        <v>#DIV/0!</v>
      </c>
      <c r="AP9" s="12"/>
      <c r="AQ9" s="33" t="s">
        <v>32</v>
      </c>
      <c r="AR9" s="33">
        <f>COUNTIFS(D:D,"=FRIDAY",K:K,"=ORDER BLOCK")</f>
        <v>0</v>
      </c>
      <c r="AS9" s="23">
        <f>COUNTIFS(D:D,"=FRIDAY",K:K,"=ORDER BLOCK", M:M,"=WIN")</f>
        <v>0</v>
      </c>
      <c r="AT9" s="24">
        <f>COUNTIFS(D:D,"=FRIDAY",K:K,"=ORDER BLOCK", M:M,"=LOSS")</f>
        <v>0</v>
      </c>
      <c r="AU9" s="25">
        <f>COUNTIFS(D:D,"=FRIDAY",K:K,"=ORDER BLOCK", M:M,"=BREAK-EVEN")</f>
        <v>0</v>
      </c>
      <c r="AV9" s="1" t="e">
        <f t="shared" si="0"/>
        <v>#DIV/0!</v>
      </c>
      <c r="AW9" s="12"/>
      <c r="AX9" s="12"/>
      <c r="AY9" s="5"/>
    </row>
    <row r="10" spans="1:51" x14ac:dyDescent="0.35">
      <c r="A10" s="8"/>
      <c r="T10" s="5"/>
      <c r="U10" s="19" t="s">
        <v>23</v>
      </c>
      <c r="V10" s="19">
        <f>COUNTIF(C2:C1048576,"=LONG")</f>
        <v>0</v>
      </c>
      <c r="W10" s="23">
        <f>COUNTIFS(C2:C1048576,"=LONG",M2:M1048576,"=WIN")</f>
        <v>0</v>
      </c>
      <c r="X10" s="24">
        <f>COUNTIFS(C2:C1048576,"=LONG",M2:M1048576,"=LOSS")</f>
        <v>0</v>
      </c>
      <c r="Y10" s="25">
        <f>COUNTIFS(C2:C1048576,"=LONG",M2:M1048576,"=BREAK-EVEN")</f>
        <v>0</v>
      </c>
      <c r="Z10" s="4"/>
      <c r="AA10" s="5"/>
      <c r="AB10" s="4"/>
      <c r="AC10" s="4"/>
      <c r="AD10" s="4"/>
      <c r="AE10" s="4"/>
      <c r="AF10" s="4"/>
      <c r="AG10" s="5"/>
      <c r="AH10" s="5"/>
      <c r="AI10" s="5"/>
      <c r="AJ10" s="33" t="s">
        <v>74</v>
      </c>
      <c r="AK10" s="33">
        <f>COUNTIFS(D:D,"=SATURDAY", J:J,"=BREAK &amp; RETEST")</f>
        <v>0</v>
      </c>
      <c r="AL10" s="23">
        <f>COUNTIFS(D:D,"=SATURDAY", J:J,"=BREAK &amp; RETEST",M:M,"=WIN")</f>
        <v>0</v>
      </c>
      <c r="AM10" s="24">
        <f>COUNTIFS(D:D,"=SATURDAY", J:J,"=BREAK &amp; RETEST",M:M,"=LOSS")</f>
        <v>0</v>
      </c>
      <c r="AN10" s="25">
        <f>COUNTIFS(E:E,"=SATURDAY", J:J,"=BREAK &amp; RETEST",M:M,"=BREAK-EVEN")</f>
        <v>0</v>
      </c>
      <c r="AO10" s="1" t="e">
        <f t="shared" si="1"/>
        <v>#DIV/0!</v>
      </c>
      <c r="AP10" s="12"/>
      <c r="AQ10" s="33" t="s">
        <v>74</v>
      </c>
      <c r="AR10" s="33">
        <f>COUNTIFS(D:D,"=SATURDAY",K:K,"=ORDER BLOCK")</f>
        <v>0</v>
      </c>
      <c r="AS10" s="23">
        <f>COUNTIFS(D:D,"=SATURDAY",K:K,"=ORDER BLOCK", M:M,"=WIN")</f>
        <v>0</v>
      </c>
      <c r="AT10" s="24">
        <f>COUNTIFS(D:D,"=SATURDAY",K:K,"=ORDER BLOCK", M:M,"=LOSS")</f>
        <v>0</v>
      </c>
      <c r="AU10" s="25">
        <f>COUNTIFS(D:D,"=SATURDAY",K:K,"=ORDER BLOCK", M:M,"=BREAK-EVEN")</f>
        <v>0</v>
      </c>
      <c r="AV10" s="1" t="e">
        <f t="shared" si="0"/>
        <v>#DIV/0!</v>
      </c>
      <c r="AW10" s="12"/>
      <c r="AX10" s="12"/>
      <c r="AY10" s="5"/>
    </row>
    <row r="11" spans="1:51" x14ac:dyDescent="0.35">
      <c r="T11" s="5"/>
      <c r="U11" s="20" t="s">
        <v>28</v>
      </c>
      <c r="V11" s="20">
        <f>COUNTIF(C2:C1048576,"=SHORT")</f>
        <v>0</v>
      </c>
      <c r="W11" s="23">
        <f>COUNTIFS(C2:C1048576,"=SHORT",M2:M1048576,"=WIN")</f>
        <v>0</v>
      </c>
      <c r="X11" s="24">
        <f>COUNTIFS(C2:C1048576,"=SHORT",M2:M1048576,"=LOSS")</f>
        <v>0</v>
      </c>
      <c r="Y11" s="25">
        <f>COUNTIFS(C2:C1048576,"=SHORT",M2:M1048576,"=BREAK-EVEN")</f>
        <v>0</v>
      </c>
      <c r="Z11" s="1">
        <f>SUM(V10:V11)</f>
        <v>0</v>
      </c>
      <c r="AA11" s="5"/>
      <c r="AB11" s="1" t="s">
        <v>6</v>
      </c>
      <c r="AC11" s="1" t="s">
        <v>24</v>
      </c>
      <c r="AD11" s="23" t="s">
        <v>25</v>
      </c>
      <c r="AE11" s="24" t="s">
        <v>26</v>
      </c>
      <c r="AF11" s="25" t="s">
        <v>16</v>
      </c>
      <c r="AG11" s="5"/>
      <c r="AH11" s="5"/>
      <c r="AI11" s="5"/>
      <c r="AJ11" s="33" t="s">
        <v>75</v>
      </c>
      <c r="AK11" s="33">
        <f>COUNTIFS(D:D,"=SUNDAY", J:J,"=BREAK &amp; RETEST")</f>
        <v>0</v>
      </c>
      <c r="AL11" s="23">
        <f>COUNTIFS(D:D,"=SUNDAY", J:J,"=BREAK &amp; RETEST",M:M,"=WIN")</f>
        <v>0</v>
      </c>
      <c r="AM11" s="24">
        <f>COUNTIFS(D:D,"=SUNDAY", J:J,"=BREAK &amp; RETEST",M:M,"=LOSS")</f>
        <v>0</v>
      </c>
      <c r="AN11" s="25">
        <f>COUNTIFS(E:E,"=SUNDAY", J:J,"=BREAK &amp; RETEST",M:M,"=BREAK-EVEN")</f>
        <v>0</v>
      </c>
      <c r="AO11" s="1" t="e">
        <f t="shared" si="1"/>
        <v>#DIV/0!</v>
      </c>
      <c r="AP11" s="12"/>
      <c r="AQ11" s="33" t="s">
        <v>75</v>
      </c>
      <c r="AR11" s="33">
        <f>COUNTIFS(D:D,"=SUNDAY",K:K,"=ORDER BLOCK")</f>
        <v>0</v>
      </c>
      <c r="AS11" s="23">
        <f>COUNTIFS(D:D,"=SUNDAY",K:K,"=ORDER BLOCK", M:M,"=WIN")</f>
        <v>0</v>
      </c>
      <c r="AT11" s="24">
        <f>COUNTIFS(D:D,"=SUNDAY",K:K,"=ORDER BLOCK", M:M,"=LOSS")</f>
        <v>0</v>
      </c>
      <c r="AU11" s="25">
        <f>COUNTIFS(D:D,"=SUNDAY",K:K,"=ORDER BLOCK", M:M,"=BREAK-EVEN")</f>
        <v>0</v>
      </c>
      <c r="AV11" s="1" t="e">
        <f t="shared" si="0"/>
        <v>#DIV/0!</v>
      </c>
      <c r="AW11" s="12"/>
      <c r="AX11" s="12"/>
      <c r="AY11" s="5"/>
    </row>
    <row r="12" spans="1:51" x14ac:dyDescent="0.35">
      <c r="T12" s="5"/>
      <c r="U12" s="4"/>
      <c r="V12" s="4"/>
      <c r="W12" s="4"/>
      <c r="X12" s="4"/>
      <c r="Y12" s="4"/>
      <c r="Z12" s="4"/>
      <c r="AA12" s="5"/>
      <c r="AB12" s="1" t="s">
        <v>19</v>
      </c>
      <c r="AC12" s="1">
        <f>COUNTIF(K2:K1048576,"=ORDER BLOCK")</f>
        <v>0</v>
      </c>
      <c r="AD12" s="23">
        <f>COUNTIFS(K2:K1048576,"=ORDER BLOCK",M2:M1048576,"=WIN")</f>
        <v>0</v>
      </c>
      <c r="AE12" s="24">
        <f>COUNTIFS(K2:K1048576,"=ORDER BLOCK",M2:M1048576,"=LOSS")</f>
        <v>0</v>
      </c>
      <c r="AF12" s="25">
        <f>COUNTIFS(K2:K1048576,"=ORDER BLOCK",M2:M1048576,"=BREAK-EVEN")</f>
        <v>0</v>
      </c>
      <c r="AG12" s="5"/>
      <c r="AH12" s="5"/>
      <c r="AI12" s="5"/>
      <c r="AL12" s="23"/>
      <c r="AM12" s="24"/>
      <c r="AN12" s="25"/>
      <c r="AO12" s="1" t="e">
        <f t="shared" si="1"/>
        <v>#DIV/0!</v>
      </c>
      <c r="AP12" s="12"/>
      <c r="AQ12" s="33"/>
      <c r="AW12" s="12"/>
      <c r="AX12" s="12"/>
      <c r="AY12" s="5"/>
    </row>
    <row r="13" spans="1:51" x14ac:dyDescent="0.35">
      <c r="T13" s="5"/>
      <c r="U13" s="1" t="s">
        <v>29</v>
      </c>
      <c r="V13" s="1" t="s">
        <v>24</v>
      </c>
      <c r="W13" s="23" t="s">
        <v>25</v>
      </c>
      <c r="X13" s="24" t="s">
        <v>26</v>
      </c>
      <c r="Y13" s="25" t="s">
        <v>16</v>
      </c>
      <c r="Z13" s="4"/>
      <c r="AA13" s="5"/>
      <c r="AB13" s="1" t="s">
        <v>48</v>
      </c>
      <c r="AC13" s="1">
        <f>COUNTIF(K2:K1048576,"=BREAKER BLOCK")</f>
        <v>0</v>
      </c>
      <c r="AD13" s="23">
        <f>COUNTIFS(K2:K1048576,"=BREAKER BLOCK",M2:M1048576,"=WIN")</f>
        <v>0</v>
      </c>
      <c r="AE13" s="24">
        <f>COUNTIFS(K2:K1048576,"=BREAKER BLOCK",M2:M1048576,"=LOSS")</f>
        <v>0</v>
      </c>
      <c r="AF13" s="25">
        <f>COUNTIFS(K2:K1048576,"=BREAKER BLOCK",M2:M1048576,"=BREAK-EVEN")</f>
        <v>0</v>
      </c>
      <c r="AG13" s="5"/>
      <c r="AH13" s="5"/>
      <c r="AI13" s="5"/>
      <c r="AP13" s="12"/>
      <c r="AQ13" s="33" t="s">
        <v>67</v>
      </c>
      <c r="AR13" s="36" t="s">
        <v>68</v>
      </c>
      <c r="AS13" s="36"/>
      <c r="AT13" s="36"/>
      <c r="AU13" s="36"/>
      <c r="AV13" s="36"/>
      <c r="AW13" s="12"/>
      <c r="AX13" s="12"/>
      <c r="AY13" s="5"/>
    </row>
    <row r="14" spans="1:51" x14ac:dyDescent="0.35">
      <c r="T14" s="5"/>
      <c r="U14" s="1" t="s">
        <v>21</v>
      </c>
      <c r="V14" s="1">
        <f>COUNTIF(D2:D1048576,"=MONDAY")</f>
        <v>1</v>
      </c>
      <c r="W14" s="23">
        <f>COUNTIFS(D2:D1048576,"=MONDAY",M2:M1048576,"=WIN")</f>
        <v>1</v>
      </c>
      <c r="X14" s="24">
        <f>COUNTIFS(D2:D1048576,"=MONDAY",M2:M1048576,"=LOSS")</f>
        <v>0</v>
      </c>
      <c r="Y14" s="25">
        <f>COUNTIFS(D2:D1048576,"=MONDAY",M2:M1048576,"=BREAK-EVEN")</f>
        <v>0</v>
      </c>
      <c r="Z14" s="4"/>
      <c r="AA14" s="5"/>
      <c r="AB14" s="1" t="s">
        <v>49</v>
      </c>
      <c r="AC14" s="1">
        <f>COUNTIF(K2:K1048576,"=FVG/IMB")</f>
        <v>0</v>
      </c>
      <c r="AD14" s="23">
        <f>COUNTIFS(K2:K1048576,"=FVG/IMB",M2:M1048576,"=WIN")</f>
        <v>0</v>
      </c>
      <c r="AE14" s="24">
        <f>COUNTIFS(K2:K1048576,"=FVG/IMB",M2:M1048576,"=LOSS")</f>
        <v>0</v>
      </c>
      <c r="AF14" s="25">
        <f>COUNTIFS(K2:K1048576,"=FVG/IMB",M2:M1048576,"=BREAK-EVEN")</f>
        <v>0</v>
      </c>
      <c r="AG14" s="5"/>
      <c r="AH14" s="5"/>
      <c r="AI14" s="5"/>
      <c r="AJ14" s="33" t="s">
        <v>63</v>
      </c>
      <c r="AK14" s="36" t="s">
        <v>70</v>
      </c>
      <c r="AL14" s="36"/>
      <c r="AM14" s="36"/>
      <c r="AN14" s="36"/>
      <c r="AO14" s="36"/>
      <c r="AP14" s="12"/>
      <c r="AQ14" s="33" t="s">
        <v>21</v>
      </c>
      <c r="AR14" s="33">
        <f>COUNTIFS(D:D,"=MONDAY",K:K,"=BREAKER BLOCK")</f>
        <v>0</v>
      </c>
      <c r="AS14" s="23">
        <f>COUNTIFS(D:D,"=MONDAY",K:K,"=BREAKER BLOCK", M:M,"=WIN")</f>
        <v>0</v>
      </c>
      <c r="AT14" s="24">
        <f>COUNTIFS(D:D,"=MONDAY",K:K,"=BREAKER BLOCK", M:M,"=LOSS")</f>
        <v>0</v>
      </c>
      <c r="AU14" s="25">
        <f>COUNTIFS(D:D,"=MONDAY",K:K,"=BREAKER BLOCK", M:M,"=BREAK-EVEN")</f>
        <v>0</v>
      </c>
      <c r="AV14" s="1" t="e">
        <f>AS14/AR14</f>
        <v>#DIV/0!</v>
      </c>
      <c r="AW14" s="12"/>
      <c r="AX14" s="12"/>
      <c r="AY14" s="5"/>
    </row>
    <row r="15" spans="1:51" x14ac:dyDescent="0.35">
      <c r="T15" s="5"/>
      <c r="U15" s="1" t="s">
        <v>30</v>
      </c>
      <c r="V15" s="1">
        <f>COUNTIF(D2:D1048576,"=TUESDAY")</f>
        <v>0</v>
      </c>
      <c r="W15" s="23">
        <f>COUNTIFS(D2:D1048576,"=TUESDAY",M2:M1048576,"=WIN")</f>
        <v>0</v>
      </c>
      <c r="X15" s="24">
        <f>COUNTIFS(D2:D1048576,"=TUESDAY",M2:M1048576,"=LOSS")</f>
        <v>0</v>
      </c>
      <c r="Y15" s="25">
        <f>COUNTIFS(D2:D1048576,"=TUESDAY",M2:M1048576,"=BREAK-EVEN")</f>
        <v>0</v>
      </c>
      <c r="Z15" s="4"/>
      <c r="AA15" s="5"/>
      <c r="AB15" s="4"/>
      <c r="AC15" s="4"/>
      <c r="AD15" s="4"/>
      <c r="AE15" s="4"/>
      <c r="AF15" s="4"/>
      <c r="AG15" s="5"/>
      <c r="AH15" s="5"/>
      <c r="AI15" s="5"/>
      <c r="AJ15" s="33" t="s">
        <v>21</v>
      </c>
      <c r="AK15" s="33">
        <f>COUNTIFS(D:D,"=MONDAY",J:J,"=LIQUIDITY GRAB (PREV H/L or TRENDLINE)")</f>
        <v>0</v>
      </c>
      <c r="AL15" s="23">
        <f>COUNTIFS(D:D,"=MONDAY", J:J,"=LIQUIDITY GRAB (PREV H/L or TRENDLINE)",M:M,"=WIN")</f>
        <v>0</v>
      </c>
      <c r="AM15" s="24">
        <f>COUNTIFS(D:D,"=MONDAY", J:J,"=LIQUIDITY GRAB (PREV H/L or TRENDLINE)",M:M,"=LOSS")</f>
        <v>0</v>
      </c>
      <c r="AN15" s="25">
        <f>COUNTIFS(D:D,"=MONDAY", J:J,"=LIQUIDITY GRAB (PREV H/L or TRENDLINE)",M:M,"=BREAK-EVEN")</f>
        <v>0</v>
      </c>
      <c r="AO15" s="1" t="e">
        <f>AL15/AK15*100</f>
        <v>#DIV/0!</v>
      </c>
      <c r="AP15" s="12"/>
      <c r="AQ15" s="33" t="s">
        <v>30</v>
      </c>
      <c r="AR15" s="33">
        <f>COUNTIFS(D:D,"=TUESDAY",K:K,"=BREAKER BLOCK")</f>
        <v>0</v>
      </c>
      <c r="AS15" s="23">
        <f>COUNTIFS(D:D,"=TUESDAY",K:K,"=BREAKER BLOCK", M:M,"=WIN")</f>
        <v>0</v>
      </c>
      <c r="AT15" s="24">
        <f>COUNTIFS(D:D,"=TUESDAY",K:K,"=BREAKER BLOCK", M:M,"=LOSS")</f>
        <v>0</v>
      </c>
      <c r="AU15" s="25">
        <f>COUNTIFS(D:D,"=TUESDAY",K:K,"=BREAKER BLOCK", M:M,"=BREAK-EVEN")</f>
        <v>0</v>
      </c>
      <c r="AV15" s="1" t="e">
        <f>AS15/AR15*100</f>
        <v>#DIV/0!</v>
      </c>
      <c r="AW15" s="12"/>
      <c r="AX15" s="12"/>
      <c r="AY15" s="5"/>
    </row>
    <row r="16" spans="1:51" x14ac:dyDescent="0.35">
      <c r="T16" s="5"/>
      <c r="U16" s="1" t="s">
        <v>22</v>
      </c>
      <c r="V16" s="1">
        <f>COUNTIF(D2:D1048576,"WEDNESDAY")</f>
        <v>0</v>
      </c>
      <c r="W16" s="23">
        <f>COUNTIFS(D2:D1048576,"=WEDNESDAY",M2:M1048576,"=WIN")</f>
        <v>0</v>
      </c>
      <c r="X16" s="24">
        <f>COUNTIFS(D2:D1048576,"=WEDNESDAY",M2:M1048576,"=LOSS")</f>
        <v>0</v>
      </c>
      <c r="Y16" s="25">
        <f>COUNTIFS(D2:D1048576,"=WEDNESDAY",M2:M1048576,"=BREAK-EVEN")</f>
        <v>0</v>
      </c>
      <c r="Z16" s="4"/>
      <c r="AA16" s="5"/>
      <c r="AB16" s="4"/>
      <c r="AC16" s="4"/>
      <c r="AD16" s="4"/>
      <c r="AE16" s="4"/>
      <c r="AF16" s="4"/>
      <c r="AG16" s="5"/>
      <c r="AH16" s="5"/>
      <c r="AI16" s="5"/>
      <c r="AJ16" s="33" t="s">
        <v>30</v>
      </c>
      <c r="AK16" s="33">
        <f>COUNTIFS(D:D,"=TUESDAY",J:J,"=LIQUIDITY GRAB (PREV H/L or TRENDLINE)")</f>
        <v>0</v>
      </c>
      <c r="AL16" s="23">
        <f>COUNTIFS(D:D,"=TUESDAY", J:J,"=LIQUIDITY GRAB (PREV H/L or TRENDLINE)",M:M,"=WIN")</f>
        <v>0</v>
      </c>
      <c r="AM16" s="24">
        <f>COUNTIFS(D:D,"=TUESDAY", J:J,"=LIQUIDITY GRAB (PREV H/L or TRENDLINE)",M:M,"=LOSS")</f>
        <v>0</v>
      </c>
      <c r="AN16" s="25">
        <f>COUNTIFS(D:D,"=TUESDAY", J:J,"=LIQUIDITY GRAB (PREV H/L or TRENDLINE)",M:M,"=BREAK-EVEN")</f>
        <v>0</v>
      </c>
      <c r="AO16" s="1" t="e">
        <f>AL16/AK16*100</f>
        <v>#DIV/0!</v>
      </c>
      <c r="AP16" s="12"/>
      <c r="AQ16" s="33" t="s">
        <v>22</v>
      </c>
      <c r="AR16" s="33">
        <f>COUNTIFS(D:D,"=WEDNESDAY",K:K,"=BREAKER BLOCK")</f>
        <v>0</v>
      </c>
      <c r="AS16" s="23">
        <f>COUNTIFS(D:D,"=WEDNESDAY",K:K,"=BREAKER BLOCK", M:M,"=WIN")</f>
        <v>0</v>
      </c>
      <c r="AT16" s="24">
        <f>COUNTIFS(D:D,"=WEDNESDAY",K:K,"=BREAKER BLOCK", M:M,"=LOSS")</f>
        <v>0</v>
      </c>
      <c r="AU16" s="25">
        <f>COUNTIFS(D:D,"=WEDNESDAY",K:K,"=BREAKER BLOCK", M:M,"=BREAK-EVEN")</f>
        <v>0</v>
      </c>
      <c r="AV16" s="1" t="e">
        <f>AS16/AR16*100</f>
        <v>#DIV/0!</v>
      </c>
      <c r="AW16" s="12"/>
      <c r="AX16" s="12"/>
      <c r="AY16" s="5"/>
    </row>
    <row r="17" spans="20:51" x14ac:dyDescent="0.35">
      <c r="T17" s="5"/>
      <c r="U17" s="1" t="s">
        <v>31</v>
      </c>
      <c r="V17" s="1">
        <f>COUNTIF(D2:D1048576,"=THURSDAY")</f>
        <v>0</v>
      </c>
      <c r="W17" s="23">
        <f>COUNTIFS(D2:D1048576,"=THURSDAY",M2:M1048576,"=WIN")</f>
        <v>0</v>
      </c>
      <c r="X17" s="24">
        <f>COUNTIFS(D2:D1048576,"=THURSDAY",M2:M1048576,"=LOSS")</f>
        <v>0</v>
      </c>
      <c r="Y17" s="25">
        <f>COUNTIFS(D2:D1048576,"=THURSDAY",M2:M1048576,"=BREAK-EVEN")</f>
        <v>0</v>
      </c>
      <c r="Z17" s="4"/>
      <c r="AA17" s="5"/>
      <c r="AB17" s="4"/>
      <c r="AC17" s="4"/>
      <c r="AD17" s="4"/>
      <c r="AE17" s="4"/>
      <c r="AF17" s="4"/>
      <c r="AG17" s="5"/>
      <c r="AH17" s="5"/>
      <c r="AI17" s="5"/>
      <c r="AJ17" s="33" t="s">
        <v>22</v>
      </c>
      <c r="AK17" s="33">
        <f>COUNTIFS(D:D,"=WEDNESDAY",J:J,"=LIQUIDITY GRAB (PREV H/L or TRENDLINE)")</f>
        <v>0</v>
      </c>
      <c r="AL17" s="23">
        <f>COUNTIFS(D:D,"=WEDNESDAY", J:J,"=LIQUIDITY GRAB (PREV H/L or TRENDLINE)",M:M,"=WIN")</f>
        <v>0</v>
      </c>
      <c r="AM17" s="24">
        <f>COUNTIFS(D:D,"=WEDNESDAY", J:J,"=LIQUIDITY GRAB (PREV H/L or TRENDLINE)",M:M,"=LOSS")</f>
        <v>0</v>
      </c>
      <c r="AN17" s="25">
        <f>COUNTIFS(D:D,"=WEDNESDAY", J:J,"=LIQUIDITY GRAB (PREV H/L or TRENDLINE)",M:M,"=BREAK-EVEN")</f>
        <v>0</v>
      </c>
      <c r="AO17" s="1" t="e">
        <f>AL17/AK17*100</f>
        <v>#DIV/0!</v>
      </c>
      <c r="AP17" s="12"/>
      <c r="AQ17" s="33" t="s">
        <v>31</v>
      </c>
      <c r="AR17" s="33">
        <f>COUNTIFS(D:D,"=THURSDAY",K:K,"=BREAKER BLOCK")</f>
        <v>0</v>
      </c>
      <c r="AS17" s="23">
        <f>COUNTIFS(D:D,"=THURSDAY",K:K,"=BREAKER BLOCK", M:M,"=WIN")</f>
        <v>0</v>
      </c>
      <c r="AT17" s="24">
        <f>COUNTIFS(D:D,"=THURSDAY",K:K,"=BREAKER BLOCK", M:M,"=LOSS")</f>
        <v>0</v>
      </c>
      <c r="AU17" s="25">
        <f>COUNTIFS(D:D,"=THURSDAY",K:K,"=BREAKER BLOCK", M:M,"=BREAK-EVEN")</f>
        <v>0</v>
      </c>
      <c r="AV17" s="1" t="e">
        <f t="shared" ref="AV17:AV20" si="2">AS17/AR17*100</f>
        <v>#DIV/0!</v>
      </c>
      <c r="AW17" s="12"/>
      <c r="AX17" s="12"/>
      <c r="AY17" s="5"/>
    </row>
    <row r="18" spans="20:51" x14ac:dyDescent="0.35">
      <c r="T18" s="5"/>
      <c r="U18" s="1" t="s">
        <v>32</v>
      </c>
      <c r="V18" s="1">
        <f>COUNTIF(D2:D1048576,"=FRIDAY")</f>
        <v>0</v>
      </c>
      <c r="W18" s="23">
        <f>COUNTIFS(D2:D1048576,"=FRIDAY",M2:M1048576,"=WIN")</f>
        <v>0</v>
      </c>
      <c r="X18" s="24">
        <f>COUNTIFS(D2:D1048576,"=FRIDAY",M2:M1048576,"=LOSS")</f>
        <v>0</v>
      </c>
      <c r="Y18" s="25">
        <f>COUNTIFS(D2:D1048576,"=FRIDAY",M2:M1048576,"=BREAK-EVEN")</f>
        <v>0</v>
      </c>
      <c r="Z18" s="4"/>
      <c r="AA18" s="5"/>
      <c r="AB18" s="1" t="s">
        <v>36</v>
      </c>
      <c r="AC18" s="1" t="s">
        <v>24</v>
      </c>
      <c r="AD18" s="4"/>
      <c r="AE18" s="4"/>
      <c r="AF18" s="4"/>
      <c r="AG18" s="5"/>
      <c r="AH18" s="5"/>
      <c r="AI18" s="5"/>
      <c r="AJ18" s="33" t="s">
        <v>31</v>
      </c>
      <c r="AK18" s="33">
        <f>COUNTIFS(D:D,"=THURSDAY",J:J,"=LIQUIDITY GRAB (PREV H/L or TRENDLINE)")</f>
        <v>0</v>
      </c>
      <c r="AL18" s="23">
        <f>COUNTIFS(D:D,"=THURSSDAY", J:J,"=LIQUIDITY GRAB (PREV H/L or TRENDLINE)",M:M,"=WIN")</f>
        <v>0</v>
      </c>
      <c r="AM18" s="24">
        <f>COUNTIFS(D:D,"=THURSDAY", J:J,"=LIQUIDITY GRAB (PREV H/L or TRENDLINE)",M:M,"=LOSS")</f>
        <v>0</v>
      </c>
      <c r="AN18" s="25">
        <f>COUNTIFS(D:D,"=THURSDAY", J:J,"=LIQUIDITY GRAB (PREV H/L or TRENDLINE)",M:M,"=BREAK-EVEN")</f>
        <v>0</v>
      </c>
      <c r="AO18" s="1" t="e">
        <f t="shared" ref="AO18:AO21" si="3">AL18/AK18*100</f>
        <v>#DIV/0!</v>
      </c>
      <c r="AP18" s="12"/>
      <c r="AQ18" s="33" t="s">
        <v>32</v>
      </c>
      <c r="AR18" s="33">
        <f>COUNTIFS(D:D,"=FRIDAY",K:K,"=BREAKER BLOCK")</f>
        <v>0</v>
      </c>
      <c r="AS18" s="23">
        <f>COUNTIFS(D:D,"=FRIDAY",K:K,"=BREAKER BLOCK", M:M,"=WIN")</f>
        <v>0</v>
      </c>
      <c r="AT18" s="24">
        <f>COUNTIFS(D:D,"=FRIDAY",K:K,"=BREAKER BLOCK", M:M,"=LOSS")</f>
        <v>0</v>
      </c>
      <c r="AU18" s="25">
        <f>COUNTIFS(D:D,"=FRIDAY",K:K,"=BREAKER BLOCK", M:M,"=BREAK-EVEN")</f>
        <v>0</v>
      </c>
      <c r="AV18" s="1" t="e">
        <f t="shared" si="2"/>
        <v>#DIV/0!</v>
      </c>
      <c r="AW18" s="12"/>
      <c r="AX18" s="12"/>
      <c r="AY18" s="5"/>
    </row>
    <row r="19" spans="20:51" x14ac:dyDescent="0.35">
      <c r="T19" s="5"/>
      <c r="U19" s="1" t="s">
        <v>74</v>
      </c>
      <c r="V19" s="1">
        <f>COUNTIF(D2:D1048576,"=SATURDAY")</f>
        <v>0</v>
      </c>
      <c r="W19" s="23">
        <f>COUNTIFS(D2:D1048576,"=SATURDAY",M2:M1048576,"=WIN")</f>
        <v>0</v>
      </c>
      <c r="X19" s="24">
        <f>COUNTIFS(D2:D1048576,"=SATURDAY",M2:M1048576,"=LOSS")</f>
        <v>0</v>
      </c>
      <c r="Y19" s="25">
        <f>COUNTIFS(D2:D1048576,"=SATURDAY",M2:M1048576,"=BREAK-EVEN")</f>
        <v>0</v>
      </c>
      <c r="Z19" s="4"/>
      <c r="AA19" s="5"/>
      <c r="AB19" s="1" t="s">
        <v>18</v>
      </c>
      <c r="AC19" s="1">
        <f>COUNTIF(L2:L1048576,"=1 MIN")</f>
        <v>0</v>
      </c>
      <c r="AD19" s="4"/>
      <c r="AE19" s="4"/>
      <c r="AF19" s="4"/>
      <c r="AG19" s="5"/>
      <c r="AH19" s="5"/>
      <c r="AI19" s="5"/>
      <c r="AJ19" s="33" t="s">
        <v>32</v>
      </c>
      <c r="AK19" s="33">
        <f>COUNTIFS(D:D,"=FRIDAY",J:J,"=LIQUIDITY GRAB (PREV H/L or TRENDLINE)")</f>
        <v>0</v>
      </c>
      <c r="AL19" s="23">
        <f>COUNTIFS(D:D,"=FRIDAY", J:J,"=LIQUIDITY GRAB (PREV H/L or TRENDLINE)",M:M,"=WIN")</f>
        <v>0</v>
      </c>
      <c r="AM19" s="24">
        <f>COUNTIFS(D:D,"=FRIDAY", J:J,"=LIQUIDITY GRAB (PREV H/L or TRENDLINE)",M:M,"=LOSS")</f>
        <v>0</v>
      </c>
      <c r="AN19" s="25">
        <f>COUNTIFS(D:D,"=FRIDAY", J:J,"=LIQUIDITY GRAB (PREV H/L or TRENDLINE)",M:M,"=BREAK-EVEN")</f>
        <v>0</v>
      </c>
      <c r="AO19" s="1" t="e">
        <f t="shared" si="3"/>
        <v>#DIV/0!</v>
      </c>
      <c r="AP19" s="12"/>
      <c r="AQ19" s="33" t="s">
        <v>74</v>
      </c>
      <c r="AR19" s="33">
        <f>COUNTIFS(D:D,"=SATURDAY",K:K,"=BREAKER BLOCK")</f>
        <v>0</v>
      </c>
      <c r="AS19" s="23">
        <f>COUNTIFS(D:D,"=SATURDAY",K:K,"=BREAKER BLOCK", M:M,"=WIN")</f>
        <v>0</v>
      </c>
      <c r="AT19" s="24">
        <f>COUNTIFS(D:D,"=SATURDAY",K:K,"=BREAKER BLOCK", M:M,"=LOSS")</f>
        <v>0</v>
      </c>
      <c r="AU19" s="25">
        <f>COUNTIFS(D:D,"=SATURDAY",K:K,"=BREAKER BLOCK", M:M,"=BREAK-EVEN")</f>
        <v>0</v>
      </c>
      <c r="AV19" s="1" t="e">
        <f t="shared" si="2"/>
        <v>#DIV/0!</v>
      </c>
      <c r="AW19" s="12"/>
      <c r="AX19" s="12"/>
      <c r="AY19" s="5"/>
    </row>
    <row r="20" spans="20:51" x14ac:dyDescent="0.35">
      <c r="T20" s="5"/>
      <c r="U20" s="1" t="s">
        <v>75</v>
      </c>
      <c r="V20" s="1">
        <f>COUNTIF(D2:D1048576,"=SUNDAY")</f>
        <v>0</v>
      </c>
      <c r="W20" s="23">
        <f>COUNTIFS(D2:D1048576,"=SUNDAY",M2:M1048576,"=WIN")</f>
        <v>0</v>
      </c>
      <c r="X20" s="24">
        <f>COUNTIFS(D2:D1048576,"=SUNDAY",M2:M1048576,"=LOSS")</f>
        <v>0</v>
      </c>
      <c r="Y20" s="25">
        <f>COUNTIFS(D2:D1048576,"=SUNDAY",M2:M1048576,"=BREAK-EVEN")</f>
        <v>0</v>
      </c>
      <c r="Z20" s="1">
        <f>SUM(V14:V20)</f>
        <v>1</v>
      </c>
      <c r="AA20" s="5"/>
      <c r="AB20" s="1" t="s">
        <v>44</v>
      </c>
      <c r="AC20" s="1">
        <f>COUNTIF(L2:L1048576,"=3 MIN")</f>
        <v>0</v>
      </c>
      <c r="AD20" s="4"/>
      <c r="AE20" s="4"/>
      <c r="AF20" s="4"/>
      <c r="AG20" s="5"/>
      <c r="AH20" s="5"/>
      <c r="AI20" s="5"/>
      <c r="AJ20" s="33" t="s">
        <v>74</v>
      </c>
      <c r="AK20" s="33">
        <f>COUNTIFS(D:D,"=SATURDAY",J:J,"=LIQUIDITY GRAB (PREV H/L or TRENDLINE)")</f>
        <v>0</v>
      </c>
      <c r="AL20" s="23">
        <f>COUNTIFS(D:D,"=SATURDAY", J:J,"=LIQUIDITY GRAB (PREV H/L or TRENDLINE)",M:M,"=WIN")</f>
        <v>0</v>
      </c>
      <c r="AM20" s="24">
        <f>COUNTIFS(D:D,"=SATURDAY", J:J,"=LIQUIDITY GRAB (PREV H/L or TRENDLINE)",M:M,"=LOSS")</f>
        <v>0</v>
      </c>
      <c r="AN20" s="25">
        <f>COUNTIFS(D:D,"=SATURDAY", J:J,"=LIQUIDITY GRAB (PREV H/L or TRENDLINE)",M:M,"=BREAK-EVEN")</f>
        <v>0</v>
      </c>
      <c r="AO20" s="1" t="e">
        <f t="shared" si="3"/>
        <v>#DIV/0!</v>
      </c>
      <c r="AP20" s="12"/>
      <c r="AQ20" s="33" t="s">
        <v>75</v>
      </c>
      <c r="AR20" s="33">
        <f>COUNTIFS(D:D,"=SUNDAY",K:K,"=BREAKER BLOCK")</f>
        <v>0</v>
      </c>
      <c r="AS20" s="23">
        <f>COUNTIFS(D:D,"=SUNDAY",K:K,"=BREAKER BLOCK", M:M,"=WIN")</f>
        <v>0</v>
      </c>
      <c r="AT20" s="24">
        <f>COUNTIFS(D:D,"=SUNDAY",K:K,"=BREAKER BLOCK", M:M,"=LOSS")</f>
        <v>0</v>
      </c>
      <c r="AU20" s="25">
        <f>COUNTIFS(D:D,"=SUNDAY",K:K,"=BREAKER BLOCK", M:M,"=BREAK-EVEN")</f>
        <v>0</v>
      </c>
      <c r="AV20" s="1" t="e">
        <f t="shared" si="2"/>
        <v>#DIV/0!</v>
      </c>
      <c r="AW20" s="12"/>
      <c r="AX20" s="12"/>
      <c r="AY20" s="5"/>
    </row>
    <row r="21" spans="20:51" x14ac:dyDescent="0.35">
      <c r="T21" s="5"/>
      <c r="U21" s="4"/>
      <c r="V21" s="4"/>
      <c r="W21" s="4"/>
      <c r="X21" s="4"/>
      <c r="Y21" s="4"/>
      <c r="Z21" s="4"/>
      <c r="AA21" s="5"/>
      <c r="AB21" s="1" t="s">
        <v>45</v>
      </c>
      <c r="AC21" s="1">
        <f>COUNTIF(L2:L1048576,"=5 MIN")</f>
        <v>0</v>
      </c>
      <c r="AD21" s="4"/>
      <c r="AE21" s="4"/>
      <c r="AF21" s="4"/>
      <c r="AG21" s="5"/>
      <c r="AH21" s="5"/>
      <c r="AI21" s="5"/>
      <c r="AJ21" s="33" t="s">
        <v>75</v>
      </c>
      <c r="AK21" s="33">
        <f>COUNTIFS(D:D,"=SUNDAY",J:J,"=LIQUIDITY GRAB (PREV H/L or TRENDLINE)")</f>
        <v>0</v>
      </c>
      <c r="AL21" s="23">
        <f>COUNTIFS(D:D,"=SUNDAY", J:J,"=LIQUIDITY GRAB (PREV H/L or TRENDLINE)",M:M,"=WIN")</f>
        <v>0</v>
      </c>
      <c r="AM21" s="24">
        <f>COUNTIFS(D:D,"=SUNDAY", J:J,"=LIQUIDITY GRAB (PREV H/L or TRENDLINE)",M:M,"=LOSS")</f>
        <v>0</v>
      </c>
      <c r="AN21" s="25">
        <f>COUNTIFS(D:D,"=SUNDAY", J:J,"=LIQUIDITY GRAB (PREV H/L or TRENDLINE)",M:M,"=BREAK-EVEN")</f>
        <v>0</v>
      </c>
      <c r="AO21" s="1" t="e">
        <f t="shared" si="3"/>
        <v>#DIV/0!</v>
      </c>
      <c r="AP21" s="12"/>
      <c r="AQ21" s="33"/>
      <c r="AW21" s="12"/>
      <c r="AX21" s="12"/>
      <c r="AY21" s="5"/>
    </row>
    <row r="22" spans="20:51" x14ac:dyDescent="0.35">
      <c r="T22" s="5"/>
      <c r="U22" s="1" t="s">
        <v>4</v>
      </c>
      <c r="V22" s="1" t="s">
        <v>24</v>
      </c>
      <c r="W22" s="4"/>
      <c r="X22" s="4"/>
      <c r="Y22" s="4"/>
      <c r="Z22" s="4"/>
      <c r="AA22" s="5"/>
      <c r="AB22" s="1" t="s">
        <v>46</v>
      </c>
      <c r="AC22" s="1">
        <f>COUNTIF(L2:L1048576,"=15 MIN")</f>
        <v>0</v>
      </c>
      <c r="AD22" s="4"/>
      <c r="AE22" s="4"/>
      <c r="AF22" s="4"/>
      <c r="AG22" s="5"/>
      <c r="AH22" s="5"/>
      <c r="AI22" s="5"/>
      <c r="AP22" s="12"/>
      <c r="AQ22" s="33" t="s">
        <v>67</v>
      </c>
      <c r="AR22" s="37" t="s">
        <v>59</v>
      </c>
      <c r="AS22" s="37"/>
      <c r="AT22" s="37"/>
      <c r="AU22" s="37"/>
      <c r="AV22" s="37"/>
      <c r="AW22" s="12"/>
      <c r="AX22" s="12"/>
      <c r="AY22" s="5"/>
    </row>
    <row r="23" spans="20:51" x14ac:dyDescent="0.35">
      <c r="T23" s="5"/>
      <c r="U23" s="1" t="s">
        <v>33</v>
      </c>
      <c r="V23" s="1">
        <f>COUNTIF(I2:I1048576,"=SCALP")</f>
        <v>0</v>
      </c>
      <c r="W23" s="4"/>
      <c r="X23" s="4"/>
      <c r="Y23" s="4"/>
      <c r="Z23" s="4"/>
      <c r="AA23" s="5"/>
      <c r="AB23" s="1" t="s">
        <v>47</v>
      </c>
      <c r="AC23" s="1">
        <f>COUNTIF(L2:L1048576,"=30 MIN")</f>
        <v>0</v>
      </c>
      <c r="AD23" s="4"/>
      <c r="AE23" s="4"/>
      <c r="AF23" s="4"/>
      <c r="AG23" s="5"/>
      <c r="AH23" s="5"/>
      <c r="AI23" s="5"/>
      <c r="AJ23" s="35"/>
      <c r="AK23" s="35"/>
      <c r="AL23" s="4"/>
      <c r="AM23" s="4"/>
      <c r="AN23" s="4"/>
      <c r="AO23" s="4"/>
      <c r="AP23" s="12"/>
      <c r="AQ23" s="33" t="s">
        <v>21</v>
      </c>
      <c r="AR23" s="33">
        <f>COUNTIFS(D:D,"=MONDAY",K:K,"=FVG/IMB")</f>
        <v>0</v>
      </c>
      <c r="AS23" s="23">
        <f>COUNTIFS(D:D,"=MONDAY",K:K,"=FVG/IMB", M:M,"=WIN")</f>
        <v>0</v>
      </c>
      <c r="AT23" s="24">
        <f>COUNTIFS(D:D,"=MONDAY",K:K,"=FVG/IMB", M:M,"=LOSS")</f>
        <v>0</v>
      </c>
      <c r="AU23" s="25">
        <f>COUNTIFS(D:D,"=MONDAY",K:K,"=FVG/IMB", M:M,"=BREAK-EVEN")</f>
        <v>0</v>
      </c>
      <c r="AV23" s="1" t="e">
        <f>AS23/AR23*100</f>
        <v>#DIV/0!</v>
      </c>
      <c r="AW23" s="12"/>
      <c r="AX23" s="12"/>
      <c r="AY23" s="5"/>
    </row>
    <row r="24" spans="20:51" x14ac:dyDescent="0.35">
      <c r="T24" s="5"/>
      <c r="U24" s="1" t="s">
        <v>20</v>
      </c>
      <c r="V24" s="1">
        <f>COUNTIF(I2:I1048576,"=DAY")</f>
        <v>0</v>
      </c>
      <c r="W24" s="4"/>
      <c r="X24" s="4"/>
      <c r="Y24" s="4"/>
      <c r="Z24" s="4"/>
      <c r="AA24" s="5"/>
      <c r="AB24" s="1" t="s">
        <v>17</v>
      </c>
      <c r="AC24" s="1">
        <f>COUNTIF(L2:L1048576,"=1 HR")</f>
        <v>0</v>
      </c>
      <c r="AD24" s="4"/>
      <c r="AE24" s="4"/>
      <c r="AF24" s="4"/>
      <c r="AG24" s="5"/>
      <c r="AH24" s="5"/>
      <c r="AI24" s="5"/>
      <c r="AJ24" s="35"/>
      <c r="AK24" s="35"/>
      <c r="AL24" s="4"/>
      <c r="AM24" s="4"/>
      <c r="AN24" s="4"/>
      <c r="AO24" s="4"/>
      <c r="AP24" s="12"/>
      <c r="AQ24" s="33" t="s">
        <v>30</v>
      </c>
      <c r="AR24" s="33">
        <f>COUNTIFS(D:D,"=TUESDAY",K:K,"=FVG/IMB")</f>
        <v>0</v>
      </c>
      <c r="AS24" s="23">
        <f>COUNTIFS(D:D,"=TUESDAY",K:K,"=FVG/IMB", M:M,"=WIN")</f>
        <v>0</v>
      </c>
      <c r="AT24" s="24">
        <f>COUNTIFS(D:D,"=TUESDAY",K:K,"=FVG/IMB", M:M,"=LOSS")</f>
        <v>0</v>
      </c>
      <c r="AU24" s="25">
        <f>COUNTIFS(D:D,"=TUESDAY",K:K,"=FVG/IMB", M:M,"=BREAK-EVEN")</f>
        <v>0</v>
      </c>
      <c r="AV24" s="1" t="e">
        <f>AS24/AR24*100</f>
        <v>#DIV/0!</v>
      </c>
      <c r="AW24" s="12"/>
      <c r="AX24" s="12"/>
      <c r="AY24" s="5"/>
    </row>
    <row r="25" spans="20:51" x14ac:dyDescent="0.35">
      <c r="T25" s="5"/>
      <c r="U25" s="1" t="s">
        <v>34</v>
      </c>
      <c r="V25" s="1">
        <f>COUNTIF(I2:I1048576,"=SWING")</f>
        <v>0</v>
      </c>
      <c r="W25" s="4"/>
      <c r="X25" s="4"/>
      <c r="Y25" s="4"/>
      <c r="Z25" s="4"/>
      <c r="AA25" s="5"/>
      <c r="AB25" s="4"/>
      <c r="AC25" s="4"/>
      <c r="AD25" s="4"/>
      <c r="AE25" s="4"/>
      <c r="AF25" s="4"/>
      <c r="AG25" s="5"/>
      <c r="AH25" s="5"/>
      <c r="AI25" s="5"/>
      <c r="AJ25" s="35"/>
      <c r="AK25" s="35"/>
      <c r="AL25" s="4"/>
      <c r="AM25" s="4"/>
      <c r="AN25" s="4"/>
      <c r="AO25" s="4"/>
      <c r="AP25" s="12"/>
      <c r="AQ25" s="33" t="s">
        <v>22</v>
      </c>
      <c r="AR25" s="33">
        <f>COUNTIFS(D:D,"=WEDNESDAY",K:K,"=FVG/IMB")</f>
        <v>0</v>
      </c>
      <c r="AS25" s="23">
        <f>COUNTIFS(D:D,"=WEDNESDAY",K:K,"=FVG/IMB", M:M,"=WIN")</f>
        <v>0</v>
      </c>
      <c r="AT25" s="24">
        <f>COUNTIFS(D:D,"=WEDNESDAY",K:K,"=FVG/IMB", M:M,"=LOSS")</f>
        <v>0</v>
      </c>
      <c r="AU25" s="25">
        <f>COUNTIFS(D:D,"=WEDNESDAY",K:K,"=FVG/IMB", M:M,"=BREAK-EVEN")</f>
        <v>0</v>
      </c>
      <c r="AV25" s="1" t="e">
        <f>AS25/AR25*100</f>
        <v>#DIV/0!</v>
      </c>
      <c r="AW25" s="12"/>
      <c r="AX25" s="12"/>
      <c r="AY25" s="5"/>
    </row>
    <row r="26" spans="20:51" x14ac:dyDescent="0.35">
      <c r="T26" s="5"/>
      <c r="U26" s="4"/>
      <c r="V26" s="4"/>
      <c r="W26" s="4"/>
      <c r="X26" s="4"/>
      <c r="Y26" s="4"/>
      <c r="Z26" s="4"/>
      <c r="AA26" s="5"/>
      <c r="AB26" s="1" t="s">
        <v>37</v>
      </c>
      <c r="AC26" s="1" t="s">
        <v>24</v>
      </c>
      <c r="AD26" s="4"/>
      <c r="AE26" s="4"/>
      <c r="AF26" s="4"/>
      <c r="AG26" s="5"/>
      <c r="AH26" s="5"/>
      <c r="AI26" s="5"/>
      <c r="AJ26" s="35"/>
      <c r="AK26" s="35"/>
      <c r="AL26" s="4"/>
      <c r="AM26" s="4"/>
      <c r="AN26" s="4"/>
      <c r="AO26" s="4"/>
      <c r="AP26" s="12"/>
      <c r="AQ26" s="33" t="s">
        <v>31</v>
      </c>
      <c r="AR26" s="33">
        <f>COUNTIFS(D:D,"=THURSDAY",K:K,"=FVG/IMB")</f>
        <v>0</v>
      </c>
      <c r="AS26" s="23">
        <f>COUNTIFS(D:D,"=THURSDAY",K:K,"=FVG/IMB", M:M,"=WIN")</f>
        <v>0</v>
      </c>
      <c r="AT26" s="24">
        <f>COUNTIFS(D:D,"=THURSDAY",K:K,"=FVG/IMB", M:M,"=LOSS")</f>
        <v>0</v>
      </c>
      <c r="AU26" s="25">
        <f>COUNTIFS(D:D,"=THURSDAY",K:K,"=FVG/IMB", M:M,"=BREAK-EVEN")</f>
        <v>0</v>
      </c>
      <c r="AV26" s="1" t="e">
        <f t="shared" ref="AV26:AV29" si="4">AS26/AR26*100</f>
        <v>#DIV/0!</v>
      </c>
      <c r="AW26" s="12"/>
      <c r="AX26" s="12"/>
      <c r="AY26" s="5"/>
    </row>
    <row r="27" spans="20:51" x14ac:dyDescent="0.35">
      <c r="T27" s="5"/>
      <c r="U27" s="36" t="s">
        <v>60</v>
      </c>
      <c r="V27" s="36"/>
      <c r="W27" s="36"/>
      <c r="X27" s="36"/>
      <c r="Y27" s="36"/>
      <c r="Z27" s="36"/>
      <c r="AA27" s="5"/>
      <c r="AB27" s="1" t="s">
        <v>40</v>
      </c>
      <c r="AC27" s="1">
        <f>COUNTIF(N2:N1048576,"=YES")</f>
        <v>0</v>
      </c>
      <c r="AD27" s="4"/>
      <c r="AE27" s="4"/>
      <c r="AF27" s="4"/>
      <c r="AG27" s="5"/>
      <c r="AH27" s="5"/>
      <c r="AI27" s="5"/>
      <c r="AJ27" s="35"/>
      <c r="AK27" s="35"/>
      <c r="AL27" s="4"/>
      <c r="AM27" s="4"/>
      <c r="AN27" s="4"/>
      <c r="AO27" s="4"/>
      <c r="AP27" s="12"/>
      <c r="AQ27" s="33" t="s">
        <v>32</v>
      </c>
      <c r="AR27" s="33">
        <f>COUNTIFS(D:D,"=FRIDAY",K:K,"=FVG/IMB")</f>
        <v>0</v>
      </c>
      <c r="AS27" s="23">
        <f>COUNTIFS(D:D,"=FRIDAY",K:K,"=FVG/IMB", M:M,"=WIN")</f>
        <v>0</v>
      </c>
      <c r="AT27" s="24">
        <f>COUNTIFS(D:D,"=FRIDAY",K:K,"=FVG/IMB", M:M,"=LOSS")</f>
        <v>0</v>
      </c>
      <c r="AU27" s="25">
        <f>COUNTIFS(D:D,"=FRIDAY",K:K,"=FVG/IMB", M:M,"=BREAK-EVEN")</f>
        <v>0</v>
      </c>
      <c r="AV27" s="1" t="e">
        <f t="shared" si="4"/>
        <v>#DIV/0!</v>
      </c>
      <c r="AW27" s="12"/>
      <c r="AX27" s="12"/>
      <c r="AY27" s="5"/>
    </row>
    <row r="28" spans="20:51" x14ac:dyDescent="0.35">
      <c r="T28" s="5"/>
      <c r="U28" s="11" t="s">
        <v>61</v>
      </c>
      <c r="V28" s="1" t="s">
        <v>24</v>
      </c>
      <c r="W28" s="23" t="s">
        <v>58</v>
      </c>
      <c r="X28" s="24" t="s">
        <v>26</v>
      </c>
      <c r="Y28" s="25" t="s">
        <v>16</v>
      </c>
      <c r="Z28" s="1" t="s">
        <v>51</v>
      </c>
      <c r="AA28" s="5"/>
      <c r="AB28" s="1" t="s">
        <v>41</v>
      </c>
      <c r="AC28" s="1">
        <f>COUNTIF(O2:O1048576,"=YES")</f>
        <v>0</v>
      </c>
      <c r="AD28" s="4"/>
      <c r="AE28" s="4"/>
      <c r="AF28" s="4"/>
      <c r="AG28" s="5"/>
      <c r="AH28" s="5"/>
      <c r="AI28" s="5"/>
      <c r="AJ28" s="35"/>
      <c r="AK28" s="35"/>
      <c r="AL28" s="4"/>
      <c r="AM28" s="4"/>
      <c r="AN28" s="4"/>
      <c r="AO28" s="4"/>
      <c r="AP28" s="12"/>
      <c r="AQ28" s="33" t="s">
        <v>74</v>
      </c>
      <c r="AR28" s="33">
        <f>COUNTIFS(D:D,"=SATURDAY",K:K,"=FVG/IMB")</f>
        <v>0</v>
      </c>
      <c r="AS28" s="23">
        <f>COUNTIFS(D:D,"=SATURDAY",K:K,"=FVG/IMB", M:M,"=WIN")</f>
        <v>0</v>
      </c>
      <c r="AT28" s="24">
        <f>COUNTIFS(D:D,"=SATURDAY",K:K,"=FVG/IMB", M:M,"=LOSS")</f>
        <v>0</v>
      </c>
      <c r="AU28" s="25">
        <f>COUNTIFS(D:D,"=SATURDAY",K:K,"=FVG/IMB", M:M,"=BREAK-EVEN")</f>
        <v>0</v>
      </c>
      <c r="AV28" s="1" t="e">
        <f t="shared" si="4"/>
        <v>#DIV/0!</v>
      </c>
      <c r="AW28" s="12"/>
      <c r="AX28" s="12"/>
      <c r="AY28" s="5"/>
    </row>
    <row r="29" spans="20:51" x14ac:dyDescent="0.35">
      <c r="T29" s="5"/>
      <c r="U29" s="26" t="s">
        <v>57</v>
      </c>
      <c r="V29" s="21">
        <f>COUNTIF(E2:E1048576,"LONDON")</f>
        <v>0</v>
      </c>
      <c r="W29" s="23">
        <f>COUNTIFS(E2:E1048576,"=LONDON",M2:M1048576,"=WIN")</f>
        <v>0</v>
      </c>
      <c r="X29" s="24">
        <f>COUNTIFS(E2:E1048576,"=LONDON",M2:M1048576,"=LOSS")</f>
        <v>0</v>
      </c>
      <c r="Y29" s="25">
        <f>COUNTIFS(E2:E1048576,"=LONDON",M2:M1048576,"=BREAK-EVEN")</f>
        <v>0</v>
      </c>
      <c r="Z29" s="1" t="e">
        <f>W29/V29*100</f>
        <v>#DIV/0!</v>
      </c>
      <c r="AA29" s="5"/>
      <c r="AB29" s="1" t="s">
        <v>42</v>
      </c>
      <c r="AC29" s="1">
        <f>COUNTIF(P2:P1048576,"=YES")</f>
        <v>0</v>
      </c>
      <c r="AD29" s="4"/>
      <c r="AE29" s="4"/>
      <c r="AF29" s="4"/>
      <c r="AG29" s="5"/>
      <c r="AH29" s="5"/>
      <c r="AI29" s="5"/>
      <c r="AJ29" s="35"/>
      <c r="AK29" s="35"/>
      <c r="AL29" s="4"/>
      <c r="AM29" s="4"/>
      <c r="AN29" s="4"/>
      <c r="AO29" s="4"/>
      <c r="AP29" s="12"/>
      <c r="AQ29" s="33" t="s">
        <v>75</v>
      </c>
      <c r="AR29" s="33">
        <f>COUNTIFS(D:D,"=SUNDAY",K:K,"=FVG/IMB")</f>
        <v>0</v>
      </c>
      <c r="AS29" s="23">
        <f>COUNTIFS(D:D,"=SUNDAY",K:K,"=FVG/IMB", M:M,"=WIN")</f>
        <v>0</v>
      </c>
      <c r="AT29" s="24">
        <f>COUNTIFS(D:D,"=SUNDAY",K:K,"=FVG/IMB", M:M,"=LOSS")</f>
        <v>0</v>
      </c>
      <c r="AU29" s="25">
        <f>COUNTIFS(D:D,"=SUNDAY",K:K,"=FVG/IMB", M:M,"=BREAK-EVEN")</f>
        <v>0</v>
      </c>
      <c r="AV29" s="1" t="e">
        <f t="shared" si="4"/>
        <v>#DIV/0!</v>
      </c>
      <c r="AW29" s="12"/>
      <c r="AX29" s="12"/>
      <c r="AY29" s="5"/>
    </row>
    <row r="30" spans="20:51" x14ac:dyDescent="0.35">
      <c r="T30" s="5"/>
      <c r="U30" s="27" t="s">
        <v>56</v>
      </c>
      <c r="V30" s="20">
        <f>COUNTIF(E2:E1048576,"NEW YORK")</f>
        <v>0</v>
      </c>
      <c r="W30" s="23">
        <f>COUNTIFS(E2:E1048576,"=NEW YORK",M2:M1048576,"=WIN")</f>
        <v>0</v>
      </c>
      <c r="X30" s="24">
        <f>COUNTIFS(E2:E1048576,"=NEW YORK",M2:M1048576,"=LOSS")</f>
        <v>0</v>
      </c>
      <c r="Y30" s="25">
        <f>COUNTIFS(E2:E1048576,"=NEW YORK",M2:M1048576,"=BREAK-EVEN")</f>
        <v>0</v>
      </c>
      <c r="Z30" s="1" t="e">
        <f>W30/V30*100</f>
        <v>#DIV/0!</v>
      </c>
      <c r="AA30" s="5"/>
      <c r="AB30" s="1" t="s">
        <v>43</v>
      </c>
      <c r="AC30" s="1">
        <f>COUNTIF(Q2:Q1048576,"=YES")</f>
        <v>0</v>
      </c>
      <c r="AD30" s="4"/>
      <c r="AE30" s="4"/>
      <c r="AF30" s="4"/>
      <c r="AG30" s="5"/>
      <c r="AH30" s="5"/>
      <c r="AI30" s="5"/>
      <c r="AJ30" s="35"/>
      <c r="AK30" s="35"/>
      <c r="AL30" s="4"/>
      <c r="AM30" s="4"/>
      <c r="AN30" s="4"/>
      <c r="AO30" s="4"/>
      <c r="AP30" s="12"/>
      <c r="AQ30" s="32"/>
      <c r="AR30" s="35"/>
      <c r="AS30" s="4"/>
      <c r="AT30" s="4"/>
      <c r="AU30" s="4"/>
      <c r="AV30" s="4"/>
      <c r="AW30" s="12"/>
      <c r="AX30" s="12"/>
      <c r="AY30" s="5"/>
    </row>
    <row r="31" spans="20:51" x14ac:dyDescent="0.35">
      <c r="T31" s="5"/>
      <c r="U31" s="1" t="s">
        <v>69</v>
      </c>
      <c r="V31" s="1">
        <f>COUNTIF(E2:E1048576,"ASIAN")</f>
        <v>0</v>
      </c>
      <c r="W31" s="23">
        <f>COUNTIFS(E2:E1048576,"=ASIAN",M2:M1048576,"=WIN")</f>
        <v>0</v>
      </c>
      <c r="X31" s="24">
        <f>COUNTIFS(E2:E1048576,"=ASIAN",M2:M1048576,"=LOSS")</f>
        <v>0</v>
      </c>
      <c r="Y31" s="25">
        <f>COUNTIFS(E2:E1048576,"=ASIAN",M2:M1048576,"=BREAK-EVEN")</f>
        <v>0</v>
      </c>
      <c r="Z31" s="1" t="e">
        <f>W31/V31*100</f>
        <v>#DIV/0!</v>
      </c>
      <c r="AA31" s="5"/>
      <c r="AB31" s="4"/>
      <c r="AC31" s="4"/>
      <c r="AD31" s="4"/>
      <c r="AE31" s="4"/>
      <c r="AF31" s="4"/>
      <c r="AG31" s="5"/>
      <c r="AH31" s="5"/>
      <c r="AI31" s="5"/>
      <c r="AJ31" s="35"/>
      <c r="AK31" s="35"/>
      <c r="AL31" s="4"/>
      <c r="AM31" s="4"/>
      <c r="AN31" s="4"/>
      <c r="AO31" s="4"/>
      <c r="AP31" s="12"/>
      <c r="AQ31" s="32"/>
      <c r="AR31" s="35"/>
      <c r="AS31" s="4"/>
      <c r="AT31" s="4"/>
      <c r="AU31" s="4"/>
      <c r="AV31" s="4"/>
      <c r="AW31" s="12"/>
      <c r="AX31" s="12"/>
      <c r="AY31" s="5"/>
    </row>
    <row r="32" spans="20:51" x14ac:dyDescent="0.35">
      <c r="T32" s="5"/>
      <c r="U32" s="4"/>
      <c r="V32" s="4"/>
      <c r="W32" s="4"/>
      <c r="X32" s="4"/>
      <c r="Y32" s="4"/>
      <c r="Z32" s="4"/>
      <c r="AA32" s="5"/>
      <c r="AB32" s="4"/>
      <c r="AC32" s="4"/>
      <c r="AD32" s="4"/>
      <c r="AE32" s="4"/>
      <c r="AF32" s="4"/>
      <c r="AG32" s="5"/>
      <c r="AH32" s="5"/>
      <c r="AI32" s="5"/>
      <c r="AJ32" s="35"/>
      <c r="AK32" s="35"/>
      <c r="AL32" s="4"/>
      <c r="AM32" s="4"/>
      <c r="AN32" s="4"/>
      <c r="AO32" s="4"/>
      <c r="AP32" s="12"/>
      <c r="AQ32" s="32"/>
      <c r="AR32" s="35"/>
      <c r="AS32" s="4"/>
      <c r="AT32" s="4"/>
      <c r="AU32" s="4"/>
      <c r="AV32" s="4"/>
      <c r="AW32" s="12"/>
      <c r="AX32" s="12"/>
      <c r="AY32" s="5"/>
    </row>
    <row r="33" spans="20:51" x14ac:dyDescent="0.35">
      <c r="T33" s="5"/>
      <c r="U33" s="4"/>
      <c r="V33" s="4"/>
      <c r="W33" s="4"/>
      <c r="X33" s="4"/>
      <c r="Y33" s="4"/>
      <c r="Z33" s="4"/>
      <c r="AA33" s="5"/>
      <c r="AB33" s="4"/>
      <c r="AC33" s="4"/>
      <c r="AD33" s="4"/>
      <c r="AE33" s="4"/>
      <c r="AF33" s="4"/>
      <c r="AG33" s="5"/>
      <c r="AH33" s="5"/>
      <c r="AI33" s="5"/>
      <c r="AJ33" s="35"/>
      <c r="AK33" s="35"/>
      <c r="AL33" s="4"/>
      <c r="AM33" s="4"/>
      <c r="AN33" s="4"/>
      <c r="AO33" s="4"/>
      <c r="AP33" s="12"/>
      <c r="AQ33" s="32"/>
      <c r="AR33" s="35"/>
      <c r="AS33" s="4"/>
      <c r="AT33" s="4"/>
      <c r="AU33" s="4"/>
      <c r="AV33" s="4"/>
      <c r="AW33" s="12"/>
      <c r="AX33" s="12"/>
      <c r="AY33" s="5"/>
    </row>
    <row r="34" spans="20:51" x14ac:dyDescent="0.35">
      <c r="T34" s="5"/>
      <c r="U34" s="4"/>
      <c r="V34" s="4"/>
      <c r="W34" s="4"/>
      <c r="X34" s="4"/>
      <c r="Y34" s="4"/>
      <c r="Z34" s="4"/>
      <c r="AA34" s="5"/>
      <c r="AB34" s="4"/>
      <c r="AC34" s="4"/>
      <c r="AD34" s="4"/>
      <c r="AE34" s="4"/>
      <c r="AF34" s="4"/>
      <c r="AG34" s="5"/>
      <c r="AH34" s="5"/>
      <c r="AI34" s="5"/>
      <c r="AJ34" s="35"/>
      <c r="AK34" s="35"/>
      <c r="AL34" s="4"/>
      <c r="AM34" s="4"/>
      <c r="AN34" s="4"/>
      <c r="AO34" s="4"/>
      <c r="AP34" s="5"/>
      <c r="AQ34" s="32"/>
      <c r="AR34" s="35"/>
      <c r="AS34" s="4"/>
      <c r="AT34" s="4"/>
      <c r="AU34" s="4"/>
      <c r="AV34" s="4"/>
      <c r="AW34" s="5"/>
      <c r="AX34" s="5"/>
      <c r="AY34" s="5"/>
    </row>
    <row r="35" spans="20:51" x14ac:dyDescent="0.35">
      <c r="T35" s="5"/>
      <c r="U35" s="4"/>
      <c r="V35" s="4"/>
      <c r="W35" s="4"/>
      <c r="X35" s="4"/>
      <c r="Y35" s="4"/>
      <c r="Z35" s="4"/>
      <c r="AA35" s="5"/>
      <c r="AB35" s="4"/>
      <c r="AC35" s="4"/>
      <c r="AD35" s="4"/>
      <c r="AE35" s="4"/>
      <c r="AF35" s="4"/>
      <c r="AG35" s="5"/>
      <c r="AH35" s="5"/>
      <c r="AI35" s="5"/>
      <c r="AJ35" s="35"/>
      <c r="AK35" s="35"/>
      <c r="AL35" s="4"/>
      <c r="AM35" s="4"/>
      <c r="AN35" s="4"/>
      <c r="AO35" s="4"/>
      <c r="AP35" s="5"/>
      <c r="AQ35" s="32"/>
      <c r="AR35" s="35"/>
      <c r="AS35" s="4"/>
      <c r="AT35" s="4"/>
      <c r="AU35" s="4"/>
      <c r="AV35" s="4"/>
      <c r="AW35" s="5"/>
      <c r="AX35" s="5"/>
      <c r="AY35" s="5"/>
    </row>
    <row r="36" spans="20:51" x14ac:dyDescent="0.35">
      <c r="T36" s="5"/>
      <c r="U36" s="4"/>
      <c r="V36" s="4"/>
      <c r="W36" s="4"/>
      <c r="X36" s="4"/>
      <c r="Y36" s="4"/>
      <c r="Z36" s="4"/>
      <c r="AA36" s="5"/>
      <c r="AB36" s="4"/>
      <c r="AC36" s="4"/>
      <c r="AD36" s="4"/>
      <c r="AE36" s="4"/>
      <c r="AF36" s="4"/>
      <c r="AG36" s="5"/>
      <c r="AH36" s="5"/>
      <c r="AI36" s="5"/>
      <c r="AJ36" s="35"/>
      <c r="AK36" s="35"/>
      <c r="AL36" s="4"/>
      <c r="AM36" s="4"/>
      <c r="AN36" s="4"/>
      <c r="AO36" s="4"/>
      <c r="AP36" s="5"/>
      <c r="AQ36" s="32"/>
      <c r="AR36" s="35"/>
      <c r="AS36" s="4"/>
      <c r="AT36" s="4"/>
      <c r="AU36" s="4"/>
      <c r="AV36" s="4"/>
      <c r="AW36" s="5"/>
      <c r="AX36" s="5"/>
      <c r="AY36" s="5"/>
    </row>
    <row r="37" spans="20:51" x14ac:dyDescent="0.35">
      <c r="T37" s="5"/>
      <c r="U37" s="4"/>
      <c r="V37" s="4"/>
      <c r="W37" s="4"/>
      <c r="X37" s="4"/>
      <c r="Y37" s="4"/>
      <c r="Z37" s="4"/>
      <c r="AA37" s="5"/>
      <c r="AB37" s="4"/>
      <c r="AC37" s="4"/>
      <c r="AD37" s="4"/>
      <c r="AE37" s="4"/>
      <c r="AF37" s="4"/>
      <c r="AG37" s="5"/>
      <c r="AH37" s="5"/>
      <c r="AI37" s="5"/>
      <c r="AJ37" s="35"/>
      <c r="AK37" s="35"/>
      <c r="AL37" s="4"/>
      <c r="AM37" s="4"/>
      <c r="AN37" s="4"/>
      <c r="AO37" s="4"/>
      <c r="AP37" s="5"/>
      <c r="AQ37" s="32"/>
      <c r="AR37" s="35"/>
      <c r="AS37" s="4"/>
      <c r="AT37" s="4"/>
      <c r="AU37" s="4"/>
      <c r="AV37" s="4"/>
      <c r="AW37" s="5"/>
      <c r="AX37" s="5"/>
      <c r="AY37" s="5"/>
    </row>
    <row r="38" spans="20:51" x14ac:dyDescent="0.35">
      <c r="T38" s="5"/>
      <c r="U38" s="4"/>
      <c r="V38" s="4"/>
      <c r="W38" s="4"/>
      <c r="X38" s="4"/>
      <c r="Y38" s="4"/>
      <c r="Z38" s="4"/>
      <c r="AA38" s="5"/>
      <c r="AB38" s="4"/>
      <c r="AC38" s="4"/>
      <c r="AD38" s="4"/>
      <c r="AE38" s="4"/>
      <c r="AF38" s="4"/>
      <c r="AG38" s="5"/>
      <c r="AH38" s="5"/>
      <c r="AI38" s="5"/>
      <c r="AJ38" s="35"/>
      <c r="AK38" s="35"/>
      <c r="AL38" s="4"/>
      <c r="AM38" s="4"/>
      <c r="AN38" s="4"/>
      <c r="AO38" s="4"/>
      <c r="AP38" s="5"/>
      <c r="AQ38" s="32"/>
      <c r="AR38" s="35"/>
      <c r="AS38" s="4"/>
      <c r="AT38" s="4"/>
      <c r="AU38" s="4"/>
      <c r="AV38" s="4"/>
      <c r="AW38" s="5"/>
      <c r="AX38" s="5"/>
      <c r="AY38" s="5"/>
    </row>
    <row r="39" spans="20:51" x14ac:dyDescent="0.35">
      <c r="T39" s="5"/>
      <c r="U39" s="15"/>
      <c r="V39" s="16"/>
      <c r="W39" s="4"/>
      <c r="X39" s="4"/>
      <c r="Y39" s="4"/>
      <c r="Z39" s="4"/>
      <c r="AA39" s="5"/>
      <c r="AB39" s="4"/>
      <c r="AC39" s="4"/>
      <c r="AD39" s="4"/>
      <c r="AE39" s="4"/>
      <c r="AF39" s="4"/>
      <c r="AG39" s="5"/>
      <c r="AH39" s="5"/>
      <c r="AI39" s="5"/>
      <c r="AJ39" s="35"/>
      <c r="AK39" s="35"/>
      <c r="AL39" s="4"/>
      <c r="AM39" s="4"/>
      <c r="AN39" s="4"/>
      <c r="AO39" s="4"/>
      <c r="AP39" s="5"/>
      <c r="AQ39" s="32"/>
      <c r="AR39" s="35"/>
      <c r="AS39" s="4"/>
      <c r="AT39" s="4"/>
      <c r="AU39" s="4"/>
      <c r="AV39" s="4"/>
      <c r="AW39" s="5"/>
      <c r="AX39" s="5"/>
      <c r="AY39" s="5"/>
    </row>
    <row r="40" spans="20:51" x14ac:dyDescent="0.35">
      <c r="T40" s="5"/>
      <c r="U40" s="4"/>
      <c r="V40" s="4"/>
      <c r="W40" s="4"/>
      <c r="X40" s="4"/>
      <c r="Y40" s="4"/>
      <c r="Z40" s="4"/>
      <c r="AA40" s="5"/>
      <c r="AB40" s="4"/>
      <c r="AC40" s="4"/>
      <c r="AD40" s="4"/>
      <c r="AE40" s="4"/>
      <c r="AF40" s="4"/>
      <c r="AG40" s="5"/>
      <c r="AH40" s="5"/>
      <c r="AI40" s="5"/>
      <c r="AJ40" s="35"/>
      <c r="AK40" s="35"/>
      <c r="AL40" s="4"/>
      <c r="AM40" s="4"/>
      <c r="AN40" s="4"/>
      <c r="AO40" s="4"/>
      <c r="AP40" s="5"/>
      <c r="AQ40" s="32"/>
      <c r="AR40" s="35"/>
      <c r="AS40" s="4"/>
      <c r="AT40" s="4"/>
      <c r="AU40" s="4"/>
      <c r="AV40" s="4"/>
      <c r="AW40" s="5"/>
      <c r="AX40" s="5"/>
      <c r="AY40" s="5"/>
    </row>
    <row r="41" spans="20:51" x14ac:dyDescent="0.35">
      <c r="T41" s="5"/>
      <c r="U41" s="4"/>
      <c r="V41" s="4"/>
      <c r="W41" s="4"/>
      <c r="X41" s="4"/>
      <c r="Y41" s="4"/>
      <c r="Z41" s="4"/>
      <c r="AA41" s="5"/>
      <c r="AB41" s="4"/>
      <c r="AC41" s="4"/>
      <c r="AD41" s="4"/>
      <c r="AE41" s="4"/>
      <c r="AF41" s="4"/>
      <c r="AG41" s="5"/>
      <c r="AH41" s="5"/>
      <c r="AI41" s="5"/>
      <c r="AJ41" s="35"/>
      <c r="AK41" s="35"/>
      <c r="AL41" s="4"/>
      <c r="AM41" s="4"/>
      <c r="AN41" s="4"/>
      <c r="AO41" s="4"/>
      <c r="AP41" s="5"/>
      <c r="AQ41" s="32"/>
      <c r="AR41" s="35"/>
      <c r="AS41" s="4"/>
      <c r="AT41" s="4"/>
      <c r="AU41" s="4"/>
      <c r="AV41" s="4"/>
      <c r="AW41" s="5"/>
      <c r="AX41" s="5"/>
      <c r="AY41" s="5"/>
    </row>
    <row r="42" spans="20:51" x14ac:dyDescent="0.35">
      <c r="T42" s="5"/>
      <c r="U42" s="4"/>
      <c r="V42" s="4"/>
      <c r="W42" s="4"/>
      <c r="X42" s="4"/>
      <c r="Y42" s="4"/>
      <c r="Z42" s="4"/>
      <c r="AA42" s="5"/>
      <c r="AB42" s="4"/>
      <c r="AC42" s="4"/>
      <c r="AD42" s="4"/>
      <c r="AE42" s="4"/>
      <c r="AF42" s="4"/>
      <c r="AG42" s="5"/>
      <c r="AH42" s="5"/>
      <c r="AI42" s="5"/>
      <c r="AJ42" s="35"/>
      <c r="AK42" s="35"/>
      <c r="AL42" s="4"/>
      <c r="AM42" s="4"/>
      <c r="AN42" s="4"/>
      <c r="AO42" s="4"/>
      <c r="AP42" s="5"/>
      <c r="AQ42" s="32"/>
      <c r="AR42" s="35"/>
      <c r="AS42" s="4"/>
      <c r="AT42" s="4"/>
      <c r="AU42" s="4"/>
      <c r="AV42" s="4"/>
      <c r="AW42" s="5"/>
      <c r="AX42" s="5"/>
      <c r="AY42" s="5"/>
    </row>
    <row r="43" spans="20:51" x14ac:dyDescent="0.35">
      <c r="T43" s="5"/>
      <c r="U43" s="4"/>
      <c r="V43" s="4"/>
      <c r="W43" s="4"/>
      <c r="X43" s="4"/>
      <c r="Y43" s="4"/>
      <c r="Z43" s="4"/>
      <c r="AA43" s="5"/>
      <c r="AB43" s="4"/>
      <c r="AC43" s="4"/>
      <c r="AD43" s="4"/>
      <c r="AE43" s="4"/>
      <c r="AF43" s="4"/>
      <c r="AG43" s="5"/>
      <c r="AH43" s="5"/>
      <c r="AI43" s="5"/>
      <c r="AJ43" s="35"/>
      <c r="AK43" s="35"/>
      <c r="AL43" s="4"/>
      <c r="AM43" s="4"/>
      <c r="AN43" s="4"/>
      <c r="AO43" s="4"/>
      <c r="AP43" s="5"/>
      <c r="AQ43" s="32"/>
      <c r="AR43" s="35"/>
      <c r="AS43" s="4"/>
      <c r="AT43" s="4"/>
      <c r="AU43" s="4"/>
      <c r="AV43" s="4"/>
      <c r="AW43" s="5"/>
      <c r="AX43" s="5"/>
      <c r="AY43" s="5"/>
    </row>
    <row r="44" spans="20:51" x14ac:dyDescent="0.35">
      <c r="T44" s="5"/>
      <c r="U44" s="4"/>
      <c r="V44" s="4"/>
      <c r="W44" s="4"/>
      <c r="X44" s="4"/>
      <c r="Y44" s="4"/>
      <c r="Z44" s="4"/>
      <c r="AA44" s="5"/>
      <c r="AB44" s="4"/>
      <c r="AC44" s="4"/>
      <c r="AD44" s="4"/>
      <c r="AE44" s="4"/>
      <c r="AF44" s="4"/>
      <c r="AG44" s="5"/>
      <c r="AH44" s="5"/>
      <c r="AI44" s="5"/>
      <c r="AJ44" s="35"/>
      <c r="AK44" s="35"/>
      <c r="AL44" s="4"/>
      <c r="AM44" s="4"/>
      <c r="AN44" s="4"/>
      <c r="AO44" s="4"/>
      <c r="AP44" s="5"/>
      <c r="AQ44" s="32"/>
      <c r="AR44" s="35"/>
      <c r="AS44" s="4"/>
      <c r="AT44" s="4"/>
      <c r="AU44" s="4"/>
      <c r="AV44" s="4"/>
      <c r="AW44" s="5"/>
      <c r="AX44" s="5"/>
      <c r="AY44" s="5"/>
    </row>
    <row r="45" spans="20:51" x14ac:dyDescent="0.35">
      <c r="T45" s="5"/>
      <c r="U45" s="4"/>
      <c r="V45" s="4"/>
      <c r="W45" s="4"/>
      <c r="X45" s="4"/>
      <c r="Y45" s="4"/>
      <c r="Z45" s="4"/>
      <c r="AA45" s="5"/>
      <c r="AB45" s="4"/>
      <c r="AC45" s="4"/>
      <c r="AD45" s="4"/>
      <c r="AE45" s="4"/>
      <c r="AF45" s="4"/>
      <c r="AG45" s="5"/>
      <c r="AH45" s="5"/>
      <c r="AI45" s="5"/>
      <c r="AJ45" s="35"/>
      <c r="AK45" s="35"/>
      <c r="AL45" s="4"/>
      <c r="AM45" s="4"/>
      <c r="AN45" s="4"/>
      <c r="AO45" s="4"/>
      <c r="AP45" s="5"/>
      <c r="AQ45" s="32"/>
      <c r="AR45" s="35"/>
      <c r="AS45" s="4"/>
      <c r="AT45" s="4"/>
      <c r="AU45" s="4"/>
      <c r="AV45" s="4"/>
      <c r="AW45" s="5"/>
      <c r="AX45" s="5"/>
      <c r="AY45" s="5"/>
    </row>
    <row r="46" spans="20:51" x14ac:dyDescent="0.35">
      <c r="T46" s="5"/>
      <c r="U46" s="4"/>
      <c r="V46" s="4"/>
      <c r="W46" s="4"/>
      <c r="X46" s="4"/>
      <c r="Y46" s="4"/>
      <c r="Z46" s="4"/>
      <c r="AA46" s="5"/>
      <c r="AB46" s="4"/>
      <c r="AC46" s="4"/>
      <c r="AD46" s="4"/>
      <c r="AE46" s="4"/>
      <c r="AF46" s="4"/>
      <c r="AG46" s="5"/>
      <c r="AH46" s="5"/>
      <c r="AI46" s="5"/>
      <c r="AJ46" s="35"/>
      <c r="AK46" s="35"/>
      <c r="AL46" s="4"/>
      <c r="AM46" s="4"/>
      <c r="AN46" s="4"/>
      <c r="AO46" s="4"/>
      <c r="AP46" s="5"/>
      <c r="AQ46" s="32"/>
      <c r="AR46" s="35"/>
      <c r="AS46" s="4"/>
      <c r="AT46" s="4"/>
      <c r="AU46" s="4"/>
      <c r="AV46" s="4"/>
      <c r="AW46" s="5"/>
      <c r="AX46" s="5"/>
      <c r="AY46" s="5"/>
    </row>
    <row r="47" spans="20:51" x14ac:dyDescent="0.35">
      <c r="T47" s="5"/>
      <c r="U47" s="4"/>
      <c r="V47" s="16"/>
      <c r="W47" s="4"/>
      <c r="X47" s="4"/>
      <c r="Y47" s="4"/>
      <c r="Z47" s="4"/>
      <c r="AA47" s="5"/>
      <c r="AB47" s="4"/>
      <c r="AC47" s="4"/>
      <c r="AD47" s="4"/>
      <c r="AE47" s="4"/>
      <c r="AF47" s="4"/>
      <c r="AG47" s="5"/>
      <c r="AH47" s="5"/>
      <c r="AI47" s="5"/>
      <c r="AJ47" s="35"/>
      <c r="AK47" s="35"/>
      <c r="AL47" s="4"/>
      <c r="AM47" s="4"/>
      <c r="AN47" s="4"/>
      <c r="AO47" s="4"/>
      <c r="AP47" s="5"/>
      <c r="AQ47" s="32"/>
      <c r="AR47" s="35"/>
      <c r="AS47" s="4"/>
      <c r="AT47" s="4"/>
      <c r="AU47" s="4"/>
      <c r="AV47" s="4"/>
      <c r="AW47" s="5"/>
      <c r="AX47" s="5"/>
      <c r="AY47" s="5"/>
    </row>
    <row r="48" spans="20:51" x14ac:dyDescent="0.35">
      <c r="T48" s="5"/>
      <c r="U48" s="16"/>
      <c r="V48" s="4"/>
      <c r="W48" s="4"/>
      <c r="X48" s="4"/>
      <c r="Y48" s="4"/>
      <c r="Z48" s="4"/>
      <c r="AA48" s="5"/>
      <c r="AB48" s="4"/>
      <c r="AC48" s="4"/>
      <c r="AD48" s="4"/>
      <c r="AE48" s="4"/>
      <c r="AF48" s="4"/>
      <c r="AG48" s="5"/>
      <c r="AH48" s="5"/>
      <c r="AI48" s="5"/>
      <c r="AJ48" s="35"/>
      <c r="AK48" s="35"/>
      <c r="AL48" s="4"/>
      <c r="AM48" s="4"/>
      <c r="AN48" s="4"/>
      <c r="AO48" s="4"/>
      <c r="AP48" s="5"/>
      <c r="AQ48" s="32"/>
      <c r="AR48" s="35"/>
      <c r="AS48" s="4"/>
      <c r="AT48" s="4"/>
      <c r="AU48" s="4"/>
      <c r="AV48" s="4"/>
      <c r="AW48" s="5"/>
      <c r="AX48" s="5"/>
      <c r="AY48" s="5"/>
    </row>
    <row r="49" spans="20:51" x14ac:dyDescent="0.35">
      <c r="T49" s="5"/>
      <c r="U49" s="4"/>
      <c r="V49" s="4"/>
      <c r="W49" s="4"/>
      <c r="X49" s="4"/>
      <c r="Y49" s="4"/>
      <c r="Z49" s="4"/>
      <c r="AA49" s="5"/>
      <c r="AB49" s="4"/>
      <c r="AC49" s="4"/>
      <c r="AD49" s="4"/>
      <c r="AE49" s="4"/>
      <c r="AF49" s="4"/>
      <c r="AG49" s="5"/>
      <c r="AH49" s="5"/>
      <c r="AI49" s="5"/>
      <c r="AJ49" s="35"/>
      <c r="AK49" s="35"/>
      <c r="AL49" s="4"/>
      <c r="AM49" s="4"/>
      <c r="AN49" s="4"/>
      <c r="AO49" s="4"/>
      <c r="AP49" s="5"/>
      <c r="AQ49" s="32"/>
      <c r="AR49" s="35"/>
      <c r="AS49" s="4"/>
      <c r="AT49" s="4"/>
      <c r="AU49" s="4"/>
      <c r="AV49" s="4"/>
      <c r="AW49" s="5"/>
      <c r="AX49" s="5"/>
      <c r="AY49" s="5"/>
    </row>
    <row r="50" spans="20:51" x14ac:dyDescent="0.35">
      <c r="T50" s="5"/>
      <c r="U50" s="4"/>
      <c r="V50" s="4"/>
      <c r="W50" s="4"/>
      <c r="X50" s="4"/>
      <c r="Y50" s="4"/>
      <c r="Z50" s="4"/>
      <c r="AA50" s="5"/>
      <c r="AB50" s="4"/>
      <c r="AC50" s="4"/>
      <c r="AD50" s="4"/>
      <c r="AE50" s="4"/>
      <c r="AF50" s="4"/>
      <c r="AG50" s="5"/>
      <c r="AH50" s="5"/>
      <c r="AI50" s="5"/>
      <c r="AJ50" s="35"/>
      <c r="AK50" s="35"/>
      <c r="AL50" s="4"/>
      <c r="AM50" s="4"/>
      <c r="AN50" s="4"/>
      <c r="AO50" s="4"/>
      <c r="AP50" s="5"/>
      <c r="AQ50" s="32"/>
      <c r="AR50" s="35"/>
      <c r="AS50" s="4"/>
      <c r="AT50" s="4"/>
      <c r="AU50" s="4"/>
      <c r="AV50" s="4"/>
      <c r="AW50" s="5"/>
      <c r="AX50" s="5"/>
      <c r="AY50" s="5"/>
    </row>
    <row r="51" spans="20:51" x14ac:dyDescent="0.35">
      <c r="T51" s="5"/>
      <c r="U51" s="4"/>
      <c r="V51" s="4"/>
      <c r="W51" s="4"/>
      <c r="X51" s="4"/>
      <c r="Y51" s="4"/>
      <c r="Z51" s="4"/>
      <c r="AA51" s="5"/>
      <c r="AB51" s="4"/>
      <c r="AC51" s="4"/>
      <c r="AD51" s="4"/>
      <c r="AE51" s="4"/>
      <c r="AF51" s="4"/>
      <c r="AG51" s="5"/>
      <c r="AH51" s="5"/>
      <c r="AI51" s="5"/>
      <c r="AJ51" s="35"/>
      <c r="AK51" s="35"/>
      <c r="AL51" s="4"/>
      <c r="AM51" s="4"/>
      <c r="AN51" s="4"/>
      <c r="AO51" s="4"/>
      <c r="AP51" s="5"/>
      <c r="AQ51" s="32"/>
      <c r="AR51" s="35"/>
      <c r="AS51" s="4"/>
      <c r="AT51" s="4"/>
      <c r="AU51" s="4"/>
      <c r="AV51" s="4"/>
      <c r="AW51" s="5"/>
      <c r="AX51" s="5"/>
      <c r="AY51" s="5"/>
    </row>
  </sheetData>
  <mergeCells count="9">
    <mergeCell ref="AR13:AV13"/>
    <mergeCell ref="U27:Z27"/>
    <mergeCell ref="AR22:AV22"/>
    <mergeCell ref="AB2:AC2"/>
    <mergeCell ref="AJ2:AN2"/>
    <mergeCell ref="AK3:AO3"/>
    <mergeCell ref="AK14:AO14"/>
    <mergeCell ref="AQ2:AV2"/>
    <mergeCell ref="AR3:AV3"/>
  </mergeCells>
  <dataValidations count="12">
    <dataValidation type="list" showInputMessage="1" showErrorMessage="1" sqref="M2:M1048576" xr:uid="{CC29CC46-15B6-413C-AD1A-930B653C3B7E}">
      <formula1>"WIN, LOSS, BREAK-EVEN"</formula1>
    </dataValidation>
    <dataValidation type="list" showInputMessage="1" showErrorMessage="1" sqref="N2:Q1048576" xr:uid="{7A63C422-C38E-4140-AF7C-6AFB40FE4B90}">
      <formula1>"YES, NO"</formula1>
    </dataValidation>
    <dataValidation type="list" showInputMessage="1" showErrorMessage="1" sqref="L2:L1048576" xr:uid="{87C5216D-37F3-4C8E-B963-8CCE085BA81F}">
      <formula1>"1 MIN, 3 MIN, 5 MIN, 15 MIN, 30 MIN, 1 HR"</formula1>
    </dataValidation>
    <dataValidation type="list" showInputMessage="1" showErrorMessage="1" sqref="K2:K1048576" xr:uid="{5FDEF935-F897-4446-98ED-EE257D007728}">
      <formula1>"ORDER BLOCK, BREAKER BLOCK, FVG/IMB"</formula1>
    </dataValidation>
    <dataValidation type="list" showInputMessage="1" showErrorMessage="1" sqref="J2:J3 J5:J1048576" xr:uid="{81B04EF7-ED76-40B6-B49A-6F6610CB3573}">
      <formula1>"BREAK &amp; RETEST, LIQUIDITY GRAB (PREV H L or TRENDLINE)"</formula1>
    </dataValidation>
    <dataValidation type="list" showInputMessage="1" showErrorMessage="1" sqref="I2:I1048576" xr:uid="{80CB78A4-C96A-48E1-930E-E90741A498B4}">
      <formula1>"SCALP, DAY, SWING"</formula1>
    </dataValidation>
    <dataValidation type="list" showInputMessage="1" showErrorMessage="1" sqref="E2:E1048576" xr:uid="{C4F1C0F4-F3D6-41E5-B5E1-0D9AEA70B792}">
      <formula1>"LONDON, NEW YORK, ASIAN"</formula1>
    </dataValidation>
    <dataValidation type="list" showInputMessage="1" showErrorMessage="1" sqref="D2:D1048576" xr:uid="{4BA1158E-B3A4-477E-B562-2165CF94452C}">
      <formula1>"MONDAY, TUESDAY, WEDNESDAY, THURSDAY, FRIDAY, SATURDAY, SUNDAY"</formula1>
    </dataValidation>
    <dataValidation type="list" showInputMessage="1" showErrorMessage="1" sqref="C1:C1048576" xr:uid="{2BE3C69B-CF6A-4E74-93CC-7BE8E01F7FB0}">
      <formula1>"LONG, SHORT"</formula1>
    </dataValidation>
    <dataValidation type="list" showInputMessage="1" showErrorMessage="1" sqref="B2:B1048576" xr:uid="{7577C89E-18D4-4450-A4DE-9571DAE0BEB1}">
      <formula1>"BTC"</formula1>
    </dataValidation>
    <dataValidation type="date" allowBlank="1" showInputMessage="1" showErrorMessage="1" sqref="A2:A1048576" xr:uid="{12BACD08-9969-46EB-BD51-EA9B588FD58B}">
      <formula1>38353</formula1>
      <formula2>45291</formula2>
    </dataValidation>
    <dataValidation type="list" showInputMessage="1" showErrorMessage="1" sqref="J4" xr:uid="{AB8AA839-D03B-4FC1-BD43-B0E38BEBBC8C}">
      <formula1>"BREAK &amp; RETEST, LIQUIDITY GRAB (PREV H/L or TRENDLINE)"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8D2E4-FA1D-480D-B7C8-6214DE826F70}">
  <dimension ref="A1:AY47"/>
  <sheetViews>
    <sheetView topLeftCell="P1" zoomScale="70" zoomScaleNormal="70" workbookViewId="0">
      <selection activeCell="B2" sqref="B2"/>
    </sheetView>
  </sheetViews>
  <sheetFormatPr defaultRowHeight="14.5" x14ac:dyDescent="0.35"/>
  <cols>
    <col min="1" max="1" width="12" style="3" customWidth="1"/>
    <col min="2" max="2" width="9.26953125" style="3" customWidth="1"/>
    <col min="3" max="3" width="10.26953125" style="3" customWidth="1"/>
    <col min="4" max="4" width="11.1796875" style="3" customWidth="1"/>
    <col min="5" max="5" width="15.6328125" style="3" customWidth="1"/>
    <col min="6" max="6" width="8.7265625" style="3"/>
    <col min="7" max="7" width="12.26953125" style="3" customWidth="1"/>
    <col min="8" max="8" width="15.453125" style="3" customWidth="1"/>
    <col min="9" max="9" width="12.08984375" style="3" customWidth="1"/>
    <col min="10" max="10" width="33.81640625" style="3" customWidth="1"/>
    <col min="11" max="11" width="16.90625" style="3" customWidth="1"/>
    <col min="12" max="12" width="15.90625" style="3" customWidth="1"/>
    <col min="13" max="13" width="11.54296875" style="3" customWidth="1"/>
    <col min="14" max="16" width="8.7265625" style="3"/>
    <col min="17" max="17" width="14.26953125" style="3" customWidth="1"/>
    <col min="18" max="18" width="36.453125" style="3" customWidth="1"/>
    <col min="19" max="19" width="39" style="3" customWidth="1"/>
    <col min="20" max="20" width="8.7265625" style="3"/>
    <col min="21" max="21" width="15.90625" style="1" customWidth="1"/>
    <col min="22" max="22" width="12.81640625" style="1" customWidth="1"/>
    <col min="23" max="24" width="8.7265625" style="1"/>
    <col min="25" max="25" width="11.6328125" style="1" customWidth="1"/>
    <col min="26" max="26" width="14.90625" style="1" customWidth="1"/>
    <col min="27" max="27" width="18.6328125" style="3" customWidth="1"/>
    <col min="28" max="28" width="35.90625" style="1" customWidth="1"/>
    <col min="29" max="29" width="18.36328125" style="1" customWidth="1"/>
    <col min="30" max="30" width="10.90625" style="1" customWidth="1"/>
    <col min="31" max="31" width="12.26953125" style="1" customWidth="1"/>
    <col min="32" max="32" width="12.6328125" style="1" customWidth="1"/>
    <col min="33" max="35" width="8.7265625" style="3"/>
    <col min="36" max="36" width="17.453125" style="1" customWidth="1"/>
    <col min="37" max="40" width="8.7265625" style="1"/>
    <col min="41" max="41" width="15.6328125" style="1" customWidth="1"/>
    <col min="42" max="16384" width="8.7265625" style="3"/>
  </cols>
  <sheetData>
    <row r="1" spans="1:51" x14ac:dyDescent="0.35">
      <c r="A1" s="1" t="s">
        <v>54</v>
      </c>
      <c r="B1" s="1" t="s">
        <v>0</v>
      </c>
      <c r="C1" s="1" t="s">
        <v>1</v>
      </c>
      <c r="D1" s="1" t="s">
        <v>2</v>
      </c>
      <c r="E1" s="1" t="s">
        <v>55</v>
      </c>
      <c r="F1" s="1" t="s">
        <v>3</v>
      </c>
      <c r="G1" s="1" t="s">
        <v>8</v>
      </c>
      <c r="H1" s="1" t="s">
        <v>52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15</v>
      </c>
      <c r="R1" s="1" t="s">
        <v>13</v>
      </c>
      <c r="S1" s="1" t="s">
        <v>14</v>
      </c>
      <c r="T1" s="5"/>
      <c r="U1" s="4"/>
      <c r="V1" s="4"/>
      <c r="W1" s="4"/>
      <c r="X1" s="4"/>
      <c r="Y1" s="4"/>
      <c r="Z1" s="4"/>
      <c r="AA1" s="5"/>
      <c r="AB1" s="4"/>
      <c r="AC1" s="4"/>
      <c r="AD1" s="4"/>
      <c r="AE1" s="4"/>
      <c r="AF1" s="4"/>
      <c r="AG1" s="5"/>
      <c r="AH1" s="5"/>
      <c r="AI1" s="5"/>
      <c r="AJ1" s="4"/>
      <c r="AK1" s="4"/>
      <c r="AL1" s="4"/>
      <c r="AM1" s="4"/>
      <c r="AN1" s="4"/>
      <c r="AO1" s="4"/>
      <c r="AP1" s="5"/>
      <c r="AQ1" s="5"/>
      <c r="AR1" s="5"/>
      <c r="AS1" s="5"/>
      <c r="AT1" s="5"/>
      <c r="AU1" s="5"/>
      <c r="AV1" s="5"/>
      <c r="AW1" s="5"/>
      <c r="AX1" s="5"/>
      <c r="AY1" s="5"/>
    </row>
    <row r="2" spans="1:51" x14ac:dyDescent="0.35">
      <c r="A2" s="8"/>
      <c r="E2" s="9"/>
      <c r="R2" s="14"/>
      <c r="S2" s="6"/>
      <c r="T2" s="5"/>
      <c r="U2" s="1" t="s">
        <v>27</v>
      </c>
      <c r="V2" s="1" t="s">
        <v>24</v>
      </c>
      <c r="W2" s="4"/>
      <c r="X2" s="4"/>
      <c r="Y2" s="4"/>
      <c r="Z2" s="4"/>
      <c r="AA2" s="5"/>
      <c r="AB2" s="36" t="s">
        <v>38</v>
      </c>
      <c r="AC2" s="36"/>
      <c r="AD2" s="4"/>
      <c r="AE2" s="4"/>
      <c r="AF2" s="4"/>
      <c r="AG2" s="5"/>
      <c r="AH2" s="5"/>
      <c r="AI2" s="5"/>
      <c r="AJ2" s="36" t="s">
        <v>62</v>
      </c>
      <c r="AK2" s="36"/>
      <c r="AL2" s="36"/>
      <c r="AM2" s="36"/>
      <c r="AN2" s="36"/>
      <c r="AP2" s="12"/>
      <c r="AQ2" s="12"/>
      <c r="AR2" s="12"/>
      <c r="AS2" s="12"/>
      <c r="AT2" s="12"/>
      <c r="AU2" s="12"/>
      <c r="AV2" s="12"/>
      <c r="AW2" s="12"/>
      <c r="AX2" s="12"/>
      <c r="AY2" s="5"/>
    </row>
    <row r="3" spans="1:51" x14ac:dyDescent="0.35">
      <c r="E3" s="9"/>
      <c r="R3" s="14"/>
      <c r="S3" s="13"/>
      <c r="T3" s="5"/>
      <c r="U3" s="23" t="s">
        <v>25</v>
      </c>
      <c r="V3" s="23">
        <f>COUNTIF(M2:M1048576,"=WIN")</f>
        <v>0</v>
      </c>
      <c r="W3" s="4"/>
      <c r="X3" s="4"/>
      <c r="Y3" s="4"/>
      <c r="Z3" s="4"/>
      <c r="AA3" s="5"/>
      <c r="AB3" s="24" t="s">
        <v>39</v>
      </c>
      <c r="AC3" s="1" t="e">
        <f>AVERAGE(F2:F1048576)</f>
        <v>#DIV/0!</v>
      </c>
      <c r="AD3" s="4"/>
      <c r="AE3" s="4"/>
      <c r="AF3" s="4"/>
      <c r="AG3" s="5"/>
      <c r="AH3" s="5"/>
      <c r="AI3" s="5"/>
      <c r="AJ3" s="1" t="s">
        <v>63</v>
      </c>
      <c r="AK3" s="36" t="s">
        <v>50</v>
      </c>
      <c r="AL3" s="36"/>
      <c r="AM3" s="36"/>
      <c r="AN3" s="36"/>
      <c r="AO3" s="36"/>
      <c r="AP3" s="12"/>
      <c r="AQ3" s="12"/>
      <c r="AR3" s="12"/>
      <c r="AS3" s="12"/>
      <c r="AT3" s="12"/>
      <c r="AU3" s="12"/>
      <c r="AV3" s="12"/>
      <c r="AW3" s="12"/>
      <c r="AX3" s="12"/>
      <c r="AY3" s="5"/>
    </row>
    <row r="4" spans="1:51" x14ac:dyDescent="0.35">
      <c r="C4" s="18"/>
      <c r="T4" s="5"/>
      <c r="U4" s="24" t="s">
        <v>26</v>
      </c>
      <c r="V4" s="24">
        <f>COUNTIF(M2:M1048576,"=LOSS")</f>
        <v>0</v>
      </c>
      <c r="W4" s="4"/>
      <c r="X4" s="4"/>
      <c r="Y4" s="4"/>
      <c r="Z4" s="4"/>
      <c r="AA4" s="5"/>
      <c r="AB4" s="25" t="s">
        <v>52</v>
      </c>
      <c r="AC4" s="1" t="e">
        <f>AVERAGE(H2:H1048576)</f>
        <v>#DIV/0!</v>
      </c>
      <c r="AD4" s="4"/>
      <c r="AE4" s="4"/>
      <c r="AF4" s="4"/>
      <c r="AG4" s="5"/>
      <c r="AH4" s="5"/>
      <c r="AI4" s="5"/>
      <c r="AK4" s="1" t="s">
        <v>24</v>
      </c>
      <c r="AL4" s="23" t="s">
        <v>58</v>
      </c>
      <c r="AM4" s="24" t="s">
        <v>26</v>
      </c>
      <c r="AN4" s="25" t="s">
        <v>64</v>
      </c>
      <c r="AO4" s="1" t="s">
        <v>51</v>
      </c>
      <c r="AP4" s="12"/>
      <c r="AQ4" s="12"/>
      <c r="AR4" s="12"/>
      <c r="AS4" s="12"/>
      <c r="AT4" s="12"/>
      <c r="AU4" s="12"/>
      <c r="AV4" s="12"/>
      <c r="AW4" s="12"/>
      <c r="AX4" s="12"/>
      <c r="AY4" s="5"/>
    </row>
    <row r="5" spans="1:51" x14ac:dyDescent="0.35">
      <c r="C5" s="17"/>
      <c r="E5" s="10"/>
      <c r="T5" s="5"/>
      <c r="U5" s="25" t="s">
        <v>16</v>
      </c>
      <c r="V5" s="25">
        <f>COUNTIF(M2:M1048576,"=BREAK-EVEN")</f>
        <v>0</v>
      </c>
      <c r="W5" s="1">
        <f>SUM(V3:V5)</f>
        <v>0</v>
      </c>
      <c r="X5" s="4"/>
      <c r="Y5" s="4"/>
      <c r="Z5" s="4"/>
      <c r="AA5" s="5"/>
      <c r="AB5" s="23" t="s">
        <v>53</v>
      </c>
      <c r="AC5" s="1" t="e">
        <f>AVERAGE(G2:G1048576)</f>
        <v>#DIV/0!</v>
      </c>
      <c r="AD5" s="4"/>
      <c r="AE5" s="4"/>
      <c r="AF5" s="4"/>
      <c r="AG5" s="5"/>
      <c r="AH5" s="5"/>
      <c r="AI5" s="5"/>
      <c r="AJ5" s="21" t="s">
        <v>57</v>
      </c>
      <c r="AK5" s="21">
        <f>COUNTIFS(E2:E1048576,"=LONDON",J2:J1048576,"=BREAK &amp; RETEST")</f>
        <v>0</v>
      </c>
      <c r="AL5" s="23">
        <f>COUNTIFS(E2:E1048576,"=LONDON", J2:J1048576,"=BREAK &amp; RETEST",M2:M1048576,"=WIN")</f>
        <v>0</v>
      </c>
      <c r="AM5" s="24">
        <f>COUNTIFS(E2:E1048576,"=LONDON", J2:J1048576,"=BREAK &amp; RETEST",M2:M1048576,"=LOSS")</f>
        <v>0</v>
      </c>
      <c r="AN5" s="25">
        <f>COUNTIFS(E2:E1048576,"=LONDON", J2:J1048576,"=BREAK &amp; RETEST",M2:M1048576,"=BREAK-EVEN")</f>
        <v>0</v>
      </c>
      <c r="AO5" s="1" t="e">
        <f>AL5/AK5*100</f>
        <v>#DIV/0!</v>
      </c>
      <c r="AP5" s="12"/>
      <c r="AQ5" s="12"/>
      <c r="AR5" s="12"/>
      <c r="AS5" s="12"/>
      <c r="AT5" s="12"/>
      <c r="AU5" s="12"/>
      <c r="AV5" s="12"/>
      <c r="AW5" s="12"/>
      <c r="AX5" s="12"/>
      <c r="AY5" s="5"/>
    </row>
    <row r="6" spans="1:51" x14ac:dyDescent="0.35">
      <c r="A6" s="8"/>
      <c r="E6" s="10"/>
      <c r="T6" s="5"/>
      <c r="U6" s="4"/>
      <c r="V6" s="4"/>
      <c r="W6" s="4"/>
      <c r="X6" s="4"/>
      <c r="Y6" s="4"/>
      <c r="Z6" s="4"/>
      <c r="AA6" s="5"/>
      <c r="AB6" s="4"/>
      <c r="AC6" s="4"/>
      <c r="AD6" s="4"/>
      <c r="AE6" s="4"/>
      <c r="AF6" s="4"/>
      <c r="AG6" s="5"/>
      <c r="AH6" s="5"/>
      <c r="AI6" s="5"/>
      <c r="AJ6" s="22" t="s">
        <v>56</v>
      </c>
      <c r="AK6" s="22">
        <f>COUNTIFS(E2:E1048576,"=NEW YORK",J2:J1048576,"=BREAK &amp; RETEST")</f>
        <v>0</v>
      </c>
      <c r="AL6" s="23">
        <f>COUNTIFS(E2:E1048576,"=NEW YORK", J2:J1048576,"=BREAK &amp; RETEST",M2:M1048576,"=WIN")</f>
        <v>0</v>
      </c>
      <c r="AM6" s="24">
        <f>COUNTIFS(E2:E1048576,"=NEW YORK", J2:J1048576,"=BREAK &amp; RETEST",M2:M1048576,"=LOSS")</f>
        <v>0</v>
      </c>
      <c r="AN6" s="25">
        <f>COUNTIFS(E2:E1048576,"=NEW YORK", J2:J1048576,"=BREAK &amp; RETEST",M2:M1048576,"=BREAK-EVEN")</f>
        <v>0</v>
      </c>
      <c r="AO6" s="1" t="e">
        <f>AL6/AK6*100</f>
        <v>#DIV/0!</v>
      </c>
      <c r="AP6" s="12"/>
      <c r="AQ6" s="12"/>
      <c r="AR6" s="12"/>
      <c r="AS6" s="12"/>
      <c r="AT6" s="12"/>
      <c r="AU6" s="12"/>
      <c r="AV6" s="12"/>
      <c r="AW6" s="12"/>
      <c r="AX6" s="12"/>
      <c r="AY6" s="5"/>
    </row>
    <row r="7" spans="1:51" x14ac:dyDescent="0.35">
      <c r="T7" s="5"/>
      <c r="U7" s="1" t="s">
        <v>51</v>
      </c>
      <c r="V7" s="1" t="e">
        <f>V3/W5*100</f>
        <v>#DIV/0!</v>
      </c>
      <c r="W7" s="4"/>
      <c r="X7" s="4"/>
      <c r="Y7" s="4"/>
      <c r="Z7" s="4"/>
      <c r="AA7" s="5"/>
      <c r="AB7" s="1" t="s">
        <v>35</v>
      </c>
      <c r="AC7" s="1" t="s">
        <v>24</v>
      </c>
      <c r="AD7" s="23" t="s">
        <v>25</v>
      </c>
      <c r="AE7" s="24" t="s">
        <v>26</v>
      </c>
      <c r="AF7" s="25" t="s">
        <v>16</v>
      </c>
      <c r="AG7" s="5"/>
      <c r="AH7" s="5"/>
      <c r="AI7" s="5"/>
      <c r="AJ7" s="1" t="s">
        <v>69</v>
      </c>
      <c r="AK7" s="1">
        <f>COUNTIFS(E2:E1048576,"=ASIAN",J2:J1048576,"=BREAK &amp; RETEST")</f>
        <v>0</v>
      </c>
      <c r="AL7" s="23">
        <f>COUNTIFS(E2:E1048576,"=ASIAN", J2:J1048576,"=BREAK &amp; RETEST",M2:M1048576,"=WIN")</f>
        <v>0</v>
      </c>
      <c r="AM7" s="24">
        <f>COUNTIFS(E2:E1048576,"=ASIAN", J2:J1048576,"=BREAK &amp; RETEST",M2:M1048576,"=LOSS")</f>
        <v>0</v>
      </c>
      <c r="AN7" s="25">
        <f>COUNTIFS(E2:E1048576,"=ASIAN", J2:J1048576,"=BREAK &amp; RETEST",M2:M1048576,"=BREAK-EVEN")</f>
        <v>0</v>
      </c>
      <c r="AO7" s="1" t="e">
        <f>AL7/AK7*100</f>
        <v>#DIV/0!</v>
      </c>
      <c r="AP7" s="12"/>
      <c r="AQ7" s="12"/>
      <c r="AR7" s="12"/>
      <c r="AS7" s="12"/>
      <c r="AT7" s="12"/>
      <c r="AU7" s="12"/>
      <c r="AV7" s="12"/>
      <c r="AW7" s="12"/>
      <c r="AX7" s="12"/>
      <c r="AY7" s="5"/>
    </row>
    <row r="8" spans="1:51" x14ac:dyDescent="0.35">
      <c r="T8" s="5"/>
      <c r="U8" s="4"/>
      <c r="V8" s="4"/>
      <c r="W8" s="4"/>
      <c r="X8" s="4"/>
      <c r="Y8" s="4"/>
      <c r="Z8" s="4"/>
      <c r="AA8" s="5"/>
      <c r="AB8" s="1" t="s">
        <v>50</v>
      </c>
      <c r="AC8" s="1">
        <f>COUNTIF(J2:J1048576,"=BREAK &amp; RETEST")</f>
        <v>0</v>
      </c>
      <c r="AD8" s="23">
        <f>COUNTIFS(J2:J1048576,"=BREAK &amp; RETEST",M2:M1048576,"=WIN")</f>
        <v>0</v>
      </c>
      <c r="AE8" s="24">
        <f>COUNTIFS(J2:J1048576,"=BREAK &amp; RETEST",M2:M1048576,"=LOSS")</f>
        <v>0</v>
      </c>
      <c r="AF8" s="25">
        <f>COUNTIFS(J2:J1048576,"=BREAK &amp; RETEST",M2:M1048576,"=BREAK-EVEN")</f>
        <v>0</v>
      </c>
      <c r="AG8" s="5"/>
      <c r="AH8" s="5"/>
      <c r="AI8" s="5"/>
      <c r="AP8" s="12"/>
      <c r="AQ8" s="12"/>
      <c r="AR8" s="12"/>
      <c r="AS8" s="12"/>
      <c r="AT8" s="12"/>
      <c r="AU8" s="12"/>
      <c r="AV8" s="12"/>
      <c r="AW8" s="12"/>
      <c r="AX8" s="12"/>
      <c r="AY8" s="5"/>
    </row>
    <row r="9" spans="1:51" x14ac:dyDescent="0.35">
      <c r="A9" s="8"/>
      <c r="T9" s="5"/>
      <c r="U9" s="1" t="s">
        <v>1</v>
      </c>
      <c r="V9" s="1" t="s">
        <v>24</v>
      </c>
      <c r="W9" s="23" t="s">
        <v>25</v>
      </c>
      <c r="X9" s="24" t="s">
        <v>26</v>
      </c>
      <c r="Y9" s="25" t="s">
        <v>16</v>
      </c>
      <c r="Z9" s="4"/>
      <c r="AA9" s="5"/>
      <c r="AB9" s="1" t="s">
        <v>70</v>
      </c>
      <c r="AC9" s="1">
        <f>COUNTIF(J2:J1048576,"=LIQUIDITY GRAB (PREV H/L or TRENDLINE)")</f>
        <v>0</v>
      </c>
      <c r="AD9" s="23">
        <f>COUNTIFS(J2:J1048576,"=LIQUIDITY GRAB (PREV H/L or TRENDLINE)",M2:M1048576,"=WIN")</f>
        <v>0</v>
      </c>
      <c r="AE9" s="24">
        <f>COUNTIFS(J2:J1048576,"=LIQUIDITY GRAB (PREV H/L or TRENDLINE)",M2:M1048576,"=LOSS")</f>
        <v>0</v>
      </c>
      <c r="AF9" s="25">
        <f>COUNTIFS(J2:J1048576,"=LIQUIDITY GRAB (PREV H/L or TRENDLINE)",M2:M1048576,"=BREAK-EVEN")</f>
        <v>0</v>
      </c>
      <c r="AG9" s="5"/>
      <c r="AH9" s="5"/>
      <c r="AI9" s="5"/>
      <c r="AJ9" s="1" t="s">
        <v>63</v>
      </c>
      <c r="AK9" s="36" t="s">
        <v>70</v>
      </c>
      <c r="AL9" s="36"/>
      <c r="AM9" s="36"/>
      <c r="AN9" s="36"/>
      <c r="AO9" s="36"/>
      <c r="AP9" s="12"/>
      <c r="AQ9" s="12"/>
      <c r="AR9" s="12"/>
      <c r="AS9" s="12"/>
      <c r="AT9" s="12"/>
      <c r="AU9" s="12"/>
      <c r="AV9" s="12"/>
      <c r="AW9" s="12"/>
      <c r="AX9" s="12"/>
      <c r="AY9" s="5"/>
    </row>
    <row r="10" spans="1:51" x14ac:dyDescent="0.35">
      <c r="A10" s="8"/>
      <c r="T10" s="5"/>
      <c r="U10" s="19" t="s">
        <v>23</v>
      </c>
      <c r="V10" s="19">
        <f>COUNTIF(C2:C1048576,"=LONG")</f>
        <v>0</v>
      </c>
      <c r="W10" s="23">
        <f>COUNTIFS(C2:C1048576,"=LONG",M2:M1048576,"=WIN")</f>
        <v>0</v>
      </c>
      <c r="X10" s="24">
        <f>COUNTIFS(C2:C1048576,"=LONG",M2:M1048576,"=LOSS")</f>
        <v>0</v>
      </c>
      <c r="Y10" s="25">
        <f>COUNTIFS(C2:C1048576,"=LONG",M2:M1048576,"=BREAK-EVEN")</f>
        <v>0</v>
      </c>
      <c r="Z10" s="4"/>
      <c r="AA10" s="5"/>
      <c r="AB10" s="4"/>
      <c r="AC10" s="4"/>
      <c r="AD10" s="4"/>
      <c r="AE10" s="4"/>
      <c r="AF10" s="4"/>
      <c r="AG10" s="5"/>
      <c r="AH10" s="5"/>
      <c r="AI10" s="5"/>
      <c r="AJ10" s="21" t="s">
        <v>57</v>
      </c>
      <c r="AK10" s="21">
        <f>COUNTIFS(E2:E1048576,"=LONDON",J2:J1048576,"=LIQUIDITY GRAB (PREV H/L or TRENDLINE)")</f>
        <v>0</v>
      </c>
      <c r="AL10" s="23">
        <f>COUNTIFS(E2:E1048576,"=LONDON", J2:J1048576,"=LIQUIDITY GRAB (PREV H/L or TRENDLINE)",M2:M1048576,"=WIN")</f>
        <v>0</v>
      </c>
      <c r="AM10" s="24">
        <f>COUNTIFS(E2:E1048576,"=LONDON", J2:J1048576,"=LIQUIDITY GRAB (PREV H/L or TRENDLINE)",M2:M1048576,"=LOSS")</f>
        <v>0</v>
      </c>
      <c r="AN10" s="25">
        <f>COUNTIFS(E2:E1048576,"=LONDON", J2:J1048576,"=LIQUIDITY GRAB (PREV H/L or TRENDLINE)",M2:M1048576,"=BREAK-EVEN")</f>
        <v>0</v>
      </c>
      <c r="AO10" s="1" t="e">
        <f>AL10/AK10*100</f>
        <v>#DIV/0!</v>
      </c>
      <c r="AP10" s="12"/>
      <c r="AQ10" s="12"/>
      <c r="AR10" s="12"/>
      <c r="AS10" s="12"/>
      <c r="AT10" s="12"/>
      <c r="AU10" s="12"/>
      <c r="AV10" s="12"/>
      <c r="AW10" s="12"/>
      <c r="AX10" s="12"/>
      <c r="AY10" s="5"/>
    </row>
    <row r="11" spans="1:51" x14ac:dyDescent="0.35">
      <c r="T11" s="5"/>
      <c r="U11" s="20" t="s">
        <v>28</v>
      </c>
      <c r="V11" s="20">
        <f>COUNTIF(C2:C1048576,"=SHORT")</f>
        <v>0</v>
      </c>
      <c r="W11" s="23">
        <f>COUNTIFS(C2:C1048576,"=SHORT",M2:M1048576,"=WIN")</f>
        <v>0</v>
      </c>
      <c r="X11" s="24">
        <f>COUNTIFS(C2:C1048576,"=SHORT",M2:M1048576,"=LOSS")</f>
        <v>0</v>
      </c>
      <c r="Y11" s="25">
        <f>COUNTIFS(C2:C1048576,"=SHORT",M2:M1048576,"=BREAK-EVEN")</f>
        <v>0</v>
      </c>
      <c r="Z11" s="1">
        <f>SUM(V10:V11)</f>
        <v>0</v>
      </c>
      <c r="AA11" s="5"/>
      <c r="AB11" s="1" t="s">
        <v>6</v>
      </c>
      <c r="AC11" s="1" t="s">
        <v>24</v>
      </c>
      <c r="AD11" s="23" t="s">
        <v>25</v>
      </c>
      <c r="AE11" s="24" t="s">
        <v>26</v>
      </c>
      <c r="AF11" s="25" t="s">
        <v>16</v>
      </c>
      <c r="AG11" s="5"/>
      <c r="AH11" s="5"/>
      <c r="AI11" s="5"/>
      <c r="AJ11" s="22" t="s">
        <v>56</v>
      </c>
      <c r="AK11" s="22">
        <f>COUNTIFS(E2:E1048576,"=NEW YORK",J2:J1048576,"=LIQUIDITY GRAB (PREV H/L or TRENDLINE)")</f>
        <v>0</v>
      </c>
      <c r="AL11" s="23">
        <f>COUNTIFS(E2:E1048576,"=NEW YORK", J2:J1048576,"=LIQUIDITY GRAB (PREV H/L or TRENDLINE)",M2:M1048576,"=WIN")</f>
        <v>0</v>
      </c>
      <c r="AM11" s="24">
        <f>COUNTIFS(E2:E1048576,"=NEW YORK", J2:J1048576,"=LIQUIDITY GRAB (PREV H/L or TRENDLINE)",M2:M1048576,"=LOSS")</f>
        <v>0</v>
      </c>
      <c r="AN11" s="25">
        <f>COUNTIFS(E2:E1048576,"=NEW YORK", J2:J1048576,"=LIQUIDITY GRAB (PREV H/L or TRENDLINE)",M2:M1048576,"=BREAK-EVEN")</f>
        <v>0</v>
      </c>
      <c r="AO11" s="1" t="e">
        <f>AL11/AK11*100</f>
        <v>#DIV/0!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5"/>
    </row>
    <row r="12" spans="1:51" x14ac:dyDescent="0.35">
      <c r="T12" s="5"/>
      <c r="U12" s="4"/>
      <c r="V12" s="4"/>
      <c r="W12" s="4"/>
      <c r="X12" s="4"/>
      <c r="Y12" s="4"/>
      <c r="Z12" s="4"/>
      <c r="AA12" s="5"/>
      <c r="AB12" s="1" t="s">
        <v>19</v>
      </c>
      <c r="AC12" s="1">
        <f>COUNTIF(K2:K1048576,"=ORDER BLOCK")</f>
        <v>0</v>
      </c>
      <c r="AD12" s="23">
        <f>COUNTIFS(K2:K1048576,"=ORDER BLOCK",M2:M1048576,"=WIN")</f>
        <v>0</v>
      </c>
      <c r="AE12" s="24">
        <f>COUNTIFS(K2:K1048576,"=ORDER BLOCK",M2:M1048576,"=LOSS")</f>
        <v>0</v>
      </c>
      <c r="AF12" s="25">
        <f>COUNTIFS(K2:K1048576,"=ORDER BLOCK",M2:M1048576,"=BREAK-EVEN")</f>
        <v>0</v>
      </c>
      <c r="AG12" s="5"/>
      <c r="AH12" s="5"/>
      <c r="AI12" s="5"/>
      <c r="AJ12" s="1" t="s">
        <v>69</v>
      </c>
      <c r="AK12" s="1">
        <f>COUNTIFS(E2:E1048576,"=ASIAN",J2:J1048576,"=LIQUIDITY GRAB (PREV H/L or TRENDLINE)")</f>
        <v>0</v>
      </c>
      <c r="AL12" s="23">
        <f>COUNTIFS(E2:E1048576,"=ASIAN", J2:J1048576,"=LIQUIDITY GRAB (PREV H/L or TRENDLINE)",M2:M1048576,"=WIN")</f>
        <v>0</v>
      </c>
      <c r="AM12" s="24">
        <f>COUNTIFS(E2:E1048576,"=ASIAN", J2:J1048576,"=LIQUIDITY GRAB (PREV H/L or TRENDLINE)",M2:M1048576,"=LOSS")</f>
        <v>0</v>
      </c>
      <c r="AN12" s="25">
        <f>COUNTIFS(E2:E1048576,"=ASIAN", J2:J1048576,"=LIQUIDITY GRAB (PREV H/L or TRENDLINE)",M2:M1048576,"=BREAK-EVEN")</f>
        <v>0</v>
      </c>
      <c r="AO12" s="1" t="e">
        <f>AL12/AK12*100</f>
        <v>#DIV/0!</v>
      </c>
      <c r="AP12" s="12"/>
      <c r="AQ12" s="12"/>
      <c r="AR12" s="12"/>
      <c r="AS12" s="12"/>
      <c r="AT12" s="12"/>
      <c r="AU12" s="12"/>
      <c r="AV12" s="12"/>
      <c r="AW12" s="12"/>
      <c r="AX12" s="12"/>
      <c r="AY12" s="5"/>
    </row>
    <row r="13" spans="1:51" x14ac:dyDescent="0.35">
      <c r="T13" s="5"/>
      <c r="U13" s="1" t="s">
        <v>29</v>
      </c>
      <c r="V13" s="1" t="s">
        <v>24</v>
      </c>
      <c r="W13" s="23" t="s">
        <v>25</v>
      </c>
      <c r="X13" s="24" t="s">
        <v>26</v>
      </c>
      <c r="Y13" s="25" t="s">
        <v>16</v>
      </c>
      <c r="Z13" s="4"/>
      <c r="AA13" s="5"/>
      <c r="AB13" s="1" t="s">
        <v>48</v>
      </c>
      <c r="AC13" s="1">
        <f>COUNTIF(K2:K1048576,"=BREAKER BLOCK")</f>
        <v>0</v>
      </c>
      <c r="AD13" s="23">
        <f>COUNTIFS(K2:K1048576,"=BREAKER BLOCK",M2:M1048576,"=WIN")</f>
        <v>0</v>
      </c>
      <c r="AE13" s="24">
        <f>COUNTIFS(K2:K1048576,"=BREAKER BLOCK",M2:M1048576,"=LOSS")</f>
        <v>0</v>
      </c>
      <c r="AF13" s="25">
        <f>COUNTIFS(K2:K1048576,"=BREAKER BLOCK",M2:M1048576,"=BREAK-EVEN")</f>
        <v>0</v>
      </c>
      <c r="AG13" s="5"/>
      <c r="AH13" s="5"/>
      <c r="AI13" s="5"/>
      <c r="AP13" s="12"/>
      <c r="AQ13" s="12"/>
      <c r="AR13" s="12"/>
      <c r="AS13" s="12"/>
      <c r="AT13" s="12"/>
      <c r="AU13" s="12"/>
      <c r="AV13" s="12"/>
      <c r="AW13" s="12"/>
      <c r="AX13" s="12"/>
      <c r="AY13" s="5"/>
    </row>
    <row r="14" spans="1:51" x14ac:dyDescent="0.35">
      <c r="T14" s="5"/>
      <c r="U14" s="1" t="s">
        <v>21</v>
      </c>
      <c r="V14" s="1">
        <f>COUNTIF(D2:D1048576,"=MONDAY")</f>
        <v>0</v>
      </c>
      <c r="W14" s="23">
        <f>COUNTIFS(D2:D1048576,"=MONDAY",M2:M1048576,"=WIN")</f>
        <v>0</v>
      </c>
      <c r="X14" s="24">
        <f>COUNTIFS(D2:D1048576,"=MONDAY",M2:M1048576,"=LOSS")</f>
        <v>0</v>
      </c>
      <c r="Y14" s="25">
        <f>COUNTIFS(D2:D1048576,"=MONDAY",M2:M1048576,"=BREAK-EVEN")</f>
        <v>0</v>
      </c>
      <c r="Z14" s="4"/>
      <c r="AA14" s="5"/>
      <c r="AB14" s="1" t="s">
        <v>49</v>
      </c>
      <c r="AC14" s="1">
        <f>COUNTIF(K2:K1048576,"=FVG/IMB")</f>
        <v>0</v>
      </c>
      <c r="AD14" s="23">
        <f>COUNTIFS(K2:K1048576,"=FVG/IMB",M2:M1048576,"=WIN")</f>
        <v>0</v>
      </c>
      <c r="AE14" s="24">
        <f>COUNTIFS(K2:K1048576,"=FVG/IMB",M2:M1048576,"=LOSS")</f>
        <v>0</v>
      </c>
      <c r="AF14" s="25">
        <f>COUNTIFS(K2:K1048576,"=FVG/IMB",M2:M1048576,"=BREAK-EVEN")</f>
        <v>0</v>
      </c>
      <c r="AG14" s="5"/>
      <c r="AH14" s="5"/>
      <c r="AI14" s="5"/>
      <c r="AP14" s="12"/>
      <c r="AQ14" s="12"/>
      <c r="AR14" s="12"/>
      <c r="AS14" s="12"/>
      <c r="AT14" s="12"/>
      <c r="AU14" s="12"/>
      <c r="AV14" s="12"/>
      <c r="AW14" s="12"/>
      <c r="AX14" s="12"/>
      <c r="AY14" s="5"/>
    </row>
    <row r="15" spans="1:51" x14ac:dyDescent="0.35">
      <c r="T15" s="5"/>
      <c r="U15" s="1" t="s">
        <v>30</v>
      </c>
      <c r="V15" s="1">
        <f>COUNTIF(D2:D1048576,"=TUESDAY")</f>
        <v>0</v>
      </c>
      <c r="W15" s="23">
        <f>COUNTIFS(D2:D1048576,"=TUESDAY",M2:M1048576,"=WIN")</f>
        <v>0</v>
      </c>
      <c r="X15" s="24">
        <f>COUNTIFS(D2:D1048576,"=TUESDAY",M2:M1048576,"=LOSS")</f>
        <v>0</v>
      </c>
      <c r="Y15" s="25">
        <f>COUNTIFS(D2:D1048576,"=TUESDAY",M2:M1048576,"=BREAK-EVEN")</f>
        <v>0</v>
      </c>
      <c r="Z15" s="4"/>
      <c r="AA15" s="5"/>
      <c r="AB15" s="4"/>
      <c r="AC15" s="4"/>
      <c r="AD15" s="4"/>
      <c r="AE15" s="4"/>
      <c r="AF15" s="4"/>
      <c r="AG15" s="5"/>
      <c r="AH15" s="5"/>
      <c r="AI15" s="5"/>
      <c r="AJ15" s="36" t="s">
        <v>65</v>
      </c>
      <c r="AK15" s="36"/>
      <c r="AL15" s="36"/>
      <c r="AM15" s="36"/>
      <c r="AN15" s="36"/>
      <c r="AO15" s="36"/>
      <c r="AP15" s="12"/>
      <c r="AQ15" s="12"/>
      <c r="AR15" s="12"/>
      <c r="AS15" s="12"/>
      <c r="AT15" s="12"/>
      <c r="AU15" s="12"/>
      <c r="AV15" s="12"/>
      <c r="AW15" s="12"/>
      <c r="AX15" s="12"/>
      <c r="AY15" s="5"/>
    </row>
    <row r="16" spans="1:51" x14ac:dyDescent="0.35">
      <c r="T16" s="5"/>
      <c r="U16" s="1" t="s">
        <v>22</v>
      </c>
      <c r="V16" s="1">
        <f>COUNTIF(D2:D1048576,"WEDNESDAY")</f>
        <v>0</v>
      </c>
      <c r="W16" s="23">
        <f>COUNTIFS(D2:D1048576,"=WEDNESDAY",M2:M1048576,"=WIN")</f>
        <v>0</v>
      </c>
      <c r="X16" s="24">
        <f>COUNTIFS(D2:D1048576,"=WEDNESDAY",M2:M1048576,"=LOSS")</f>
        <v>0</v>
      </c>
      <c r="Y16" s="25">
        <f>COUNTIFS(D2:D1048576,"=WEDNESDAY",M2:M1048576,"=BREAK-EVEN")</f>
        <v>0</v>
      </c>
      <c r="Z16" s="4"/>
      <c r="AA16" s="5"/>
      <c r="AB16" s="4"/>
      <c r="AC16" s="4"/>
      <c r="AD16" s="4"/>
      <c r="AE16" s="4"/>
      <c r="AF16" s="4"/>
      <c r="AG16" s="5"/>
      <c r="AH16" s="5"/>
      <c r="AI16" s="5"/>
      <c r="AJ16" s="1" t="s">
        <v>67</v>
      </c>
      <c r="AK16" s="36" t="s">
        <v>66</v>
      </c>
      <c r="AL16" s="36"/>
      <c r="AM16" s="36"/>
      <c r="AN16" s="36"/>
      <c r="AO16" s="36"/>
      <c r="AP16" s="12"/>
      <c r="AQ16" s="12"/>
      <c r="AR16" s="12"/>
      <c r="AS16" s="12"/>
      <c r="AT16" s="12"/>
      <c r="AU16" s="12"/>
      <c r="AV16" s="12"/>
      <c r="AW16" s="12"/>
      <c r="AX16" s="12"/>
      <c r="AY16" s="5"/>
    </row>
    <row r="17" spans="20:51" x14ac:dyDescent="0.35">
      <c r="T17" s="5"/>
      <c r="U17" s="1" t="s">
        <v>31</v>
      </c>
      <c r="V17" s="1">
        <f>COUNTIF(D2:D1048576,"=THURSDAY")</f>
        <v>0</v>
      </c>
      <c r="W17" s="23">
        <f>COUNTIFS(D2:D1048576,"=THURSDAY",M2:M1048576,"=WIN")</f>
        <v>0</v>
      </c>
      <c r="X17" s="24">
        <f>COUNTIFS(D2:D1048576,"=THURSDAY",M2:M1048576,"=LOSS")</f>
        <v>0</v>
      </c>
      <c r="Y17" s="25">
        <f>COUNTIFS(D2:D1048576,"=THURSDAY",M2:M1048576,"=BREAK-EVEN")</f>
        <v>0</v>
      </c>
      <c r="Z17" s="4"/>
      <c r="AA17" s="5"/>
      <c r="AB17" s="4"/>
      <c r="AC17" s="4"/>
      <c r="AD17" s="4"/>
      <c r="AE17" s="4"/>
      <c r="AF17" s="4"/>
      <c r="AG17" s="5"/>
      <c r="AH17" s="5"/>
      <c r="AI17" s="5"/>
      <c r="AK17" s="1" t="s">
        <v>24</v>
      </c>
      <c r="AL17" s="1" t="s">
        <v>58</v>
      </c>
      <c r="AM17" s="1" t="s">
        <v>26</v>
      </c>
      <c r="AN17" s="1" t="s">
        <v>64</v>
      </c>
      <c r="AO17" s="1" t="s">
        <v>51</v>
      </c>
      <c r="AP17" s="12"/>
      <c r="AQ17" s="12"/>
      <c r="AR17" s="12"/>
      <c r="AS17" s="12"/>
      <c r="AT17" s="12"/>
      <c r="AU17" s="12"/>
      <c r="AV17" s="12"/>
      <c r="AW17" s="12"/>
      <c r="AX17" s="12"/>
      <c r="AY17" s="5"/>
    </row>
    <row r="18" spans="20:51" x14ac:dyDescent="0.35">
      <c r="T18" s="5"/>
      <c r="U18" s="1" t="s">
        <v>32</v>
      </c>
      <c r="V18" s="1">
        <f>COUNTIF(D2:D1048576,"=FRIDAY")</f>
        <v>0</v>
      </c>
      <c r="W18" s="23">
        <f>COUNTIFS(D2:D1048576,"=FRIDAY",M2:M1048576,"=WIN")</f>
        <v>0</v>
      </c>
      <c r="X18" s="24">
        <f>COUNTIFS(D2:D1048576,"=FRIDAY",M2:M1048576,"=LOSS")</f>
        <v>0</v>
      </c>
      <c r="Y18" s="25">
        <f>COUNTIFS(D2:D1048576,"=FRIDAY",M2:M1048576,"=BREAK-EVEN")</f>
        <v>0</v>
      </c>
      <c r="Z18" s="1">
        <f>SUM(V14:V18)</f>
        <v>0</v>
      </c>
      <c r="AA18" s="5"/>
      <c r="AB18" s="1" t="s">
        <v>36</v>
      </c>
      <c r="AC18" s="1" t="s">
        <v>24</v>
      </c>
      <c r="AD18" s="4"/>
      <c r="AE18" s="4"/>
      <c r="AF18" s="4"/>
      <c r="AG18" s="5"/>
      <c r="AH18" s="5"/>
      <c r="AI18" s="5"/>
      <c r="AJ18" s="21" t="s">
        <v>57</v>
      </c>
      <c r="AK18" s="21">
        <f>COUNTIFS(E:E,"=LONDON",K:K,"=ORDER BLOCK")</f>
        <v>0</v>
      </c>
      <c r="AL18" s="23">
        <f>COUNTIFS(E:E,"=LONDON",K:K,"=ORDER BLOCK", M:M,"=WIN")</f>
        <v>0</v>
      </c>
      <c r="AM18" s="24">
        <f>COUNTIFS(E:E,"=LONDON",K:K,"=ORDER BLOCK", M:M,"=LOSS")</f>
        <v>0</v>
      </c>
      <c r="AN18" s="25">
        <f>COUNTIFS(E:E,"=LONDON",K:K,"=ORDER BLOCK", M:M,"=BREAK-EVEN")</f>
        <v>0</v>
      </c>
      <c r="AO18" s="1" t="e">
        <f>AL18/AK18*100</f>
        <v>#DIV/0!</v>
      </c>
      <c r="AP18" s="12"/>
      <c r="AQ18" s="12"/>
      <c r="AR18" s="12"/>
      <c r="AS18" s="12"/>
      <c r="AT18" s="12"/>
      <c r="AU18" s="12"/>
      <c r="AV18" s="12"/>
      <c r="AW18" s="12"/>
      <c r="AX18" s="12"/>
      <c r="AY18" s="5"/>
    </row>
    <row r="19" spans="20:51" x14ac:dyDescent="0.35">
      <c r="T19" s="5"/>
      <c r="U19" s="4"/>
      <c r="V19" s="4"/>
      <c r="W19" s="4"/>
      <c r="X19" s="4"/>
      <c r="Y19" s="4"/>
      <c r="Z19" s="4"/>
      <c r="AA19" s="5"/>
      <c r="AB19" s="1" t="s">
        <v>18</v>
      </c>
      <c r="AC19" s="1">
        <f>COUNTIF(L2:L1048576,"=1 MIN")</f>
        <v>0</v>
      </c>
      <c r="AD19" s="4"/>
      <c r="AE19" s="4"/>
      <c r="AF19" s="4"/>
      <c r="AG19" s="5"/>
      <c r="AH19" s="5"/>
      <c r="AI19" s="5"/>
      <c r="AJ19" s="22" t="s">
        <v>56</v>
      </c>
      <c r="AK19" s="22">
        <f>COUNTIFS(E:E,"=NEW YORK",K:K,"=ORDER BLOCK")</f>
        <v>0</v>
      </c>
      <c r="AL19" s="23">
        <f>COUNTIFS(E:E,"=NEW YORK",K:K,"=ORDER BLOCK", M:M,"=WIN")</f>
        <v>0</v>
      </c>
      <c r="AM19" s="24">
        <f>COUNTIFS(E:E,"=NEW YORK",K:K,"=ORDER BLOCK", M:M,"=LOSS")</f>
        <v>0</v>
      </c>
      <c r="AN19" s="25">
        <f>COUNTIFS(E:E,"=NEW YORK",K:K,"=ORDER BLOCK", M:M,"=BREAK-EVEN")</f>
        <v>0</v>
      </c>
      <c r="AO19" s="1" t="e">
        <f>AL19/AK19*100</f>
        <v>#DIV/0!</v>
      </c>
      <c r="AP19" s="12"/>
      <c r="AQ19" s="12"/>
      <c r="AR19" s="12"/>
      <c r="AS19" s="12"/>
      <c r="AT19" s="12"/>
      <c r="AU19" s="12"/>
      <c r="AV19" s="12"/>
      <c r="AW19" s="12"/>
      <c r="AX19" s="12"/>
      <c r="AY19" s="5"/>
    </row>
    <row r="20" spans="20:51" x14ac:dyDescent="0.35">
      <c r="T20" s="5"/>
      <c r="U20" s="4"/>
      <c r="V20" s="4"/>
      <c r="W20" s="4"/>
      <c r="X20" s="4"/>
      <c r="Y20" s="4"/>
      <c r="Z20" s="4"/>
      <c r="AA20" s="5"/>
      <c r="AB20" s="1" t="s">
        <v>44</v>
      </c>
      <c r="AC20" s="1">
        <f>COUNTIF(L2:L1048576,"=3 MIN")</f>
        <v>0</v>
      </c>
      <c r="AD20" s="4"/>
      <c r="AE20" s="4"/>
      <c r="AF20" s="4"/>
      <c r="AG20" s="5"/>
      <c r="AH20" s="5"/>
      <c r="AI20" s="5"/>
      <c r="AJ20" s="1" t="s">
        <v>69</v>
      </c>
      <c r="AK20" s="1">
        <f>COUNTIFS(E:E,"=ASIAN",K:K,"=ORDER BLOCK")</f>
        <v>0</v>
      </c>
      <c r="AL20" s="23">
        <f>COUNTIFS(E:E,"=ASIAN",K:K,"=ORDER BLOCK", M:M,"=WIN")</f>
        <v>0</v>
      </c>
      <c r="AM20" s="24">
        <f>COUNTIFS(E:E,"=ASIAN",K:K,"=ORDER BLOCK", M:M,"=LOSS")</f>
        <v>0</v>
      </c>
      <c r="AN20" s="25">
        <f>COUNTIFS(E:E,"=ASIAN",K:K,"=ORDER BLOCK", M:M,"=BREAK-EVEN")</f>
        <v>0</v>
      </c>
      <c r="AO20" s="1" t="e">
        <f>AL20/AK20*100</f>
        <v>#DIV/0!</v>
      </c>
      <c r="AP20" s="12"/>
      <c r="AQ20" s="12"/>
      <c r="AR20" s="12"/>
      <c r="AS20" s="12"/>
      <c r="AT20" s="12"/>
      <c r="AU20" s="12"/>
      <c r="AV20" s="12"/>
      <c r="AW20" s="12"/>
      <c r="AX20" s="12"/>
      <c r="AY20" s="5"/>
    </row>
    <row r="21" spans="20:51" x14ac:dyDescent="0.35">
      <c r="T21" s="5"/>
      <c r="U21" s="1" t="s">
        <v>4</v>
      </c>
      <c r="V21" s="1" t="s">
        <v>24</v>
      </c>
      <c r="W21" s="4"/>
      <c r="X21" s="4"/>
      <c r="Y21" s="4"/>
      <c r="Z21" s="4"/>
      <c r="AA21" s="5"/>
      <c r="AB21" s="1" t="s">
        <v>45</v>
      </c>
      <c r="AC21" s="1">
        <f>COUNTIF(L2:L1048576,"=5 MIN")</f>
        <v>0</v>
      </c>
      <c r="AD21" s="4"/>
      <c r="AE21" s="4"/>
      <c r="AF21" s="4"/>
      <c r="AG21" s="5"/>
      <c r="AH21" s="5"/>
      <c r="AI21" s="5"/>
      <c r="AP21" s="12"/>
      <c r="AQ21" s="12"/>
      <c r="AR21" s="12"/>
      <c r="AS21" s="12"/>
      <c r="AT21" s="12"/>
      <c r="AU21" s="12"/>
      <c r="AV21" s="12"/>
      <c r="AW21" s="12"/>
      <c r="AX21" s="12"/>
      <c r="AY21" s="5"/>
    </row>
    <row r="22" spans="20:51" x14ac:dyDescent="0.35">
      <c r="T22" s="5"/>
      <c r="U22" s="1" t="s">
        <v>33</v>
      </c>
      <c r="V22" s="1">
        <f>COUNTIF(I2:I1048576,"=SCALP")</f>
        <v>0</v>
      </c>
      <c r="W22" s="4"/>
      <c r="X22" s="4"/>
      <c r="Y22" s="4"/>
      <c r="Z22" s="4"/>
      <c r="AA22" s="5"/>
      <c r="AB22" s="1" t="s">
        <v>46</v>
      </c>
      <c r="AC22" s="1">
        <f>COUNTIF(L2:L1048576,"=15 MIN")</f>
        <v>0</v>
      </c>
      <c r="AD22" s="4"/>
      <c r="AE22" s="4"/>
      <c r="AF22" s="4"/>
      <c r="AG22" s="5"/>
      <c r="AH22" s="5"/>
      <c r="AI22" s="5"/>
      <c r="AJ22" s="1" t="s">
        <v>67</v>
      </c>
      <c r="AK22" s="36" t="s">
        <v>68</v>
      </c>
      <c r="AL22" s="36"/>
      <c r="AM22" s="36"/>
      <c r="AN22" s="36"/>
      <c r="AO22" s="36"/>
      <c r="AP22" s="12"/>
      <c r="AQ22" s="12"/>
      <c r="AR22" s="12"/>
      <c r="AS22" s="12"/>
      <c r="AT22" s="12"/>
      <c r="AU22" s="12"/>
      <c r="AV22" s="12"/>
      <c r="AW22" s="12"/>
      <c r="AX22" s="12"/>
      <c r="AY22" s="5"/>
    </row>
    <row r="23" spans="20:51" x14ac:dyDescent="0.35">
      <c r="T23" s="5"/>
      <c r="U23" s="1" t="s">
        <v>20</v>
      </c>
      <c r="V23" s="1">
        <f>COUNTIF(I2:I1048576,"=DAY")</f>
        <v>0</v>
      </c>
      <c r="W23" s="4"/>
      <c r="X23" s="4"/>
      <c r="Y23" s="4"/>
      <c r="Z23" s="4"/>
      <c r="AA23" s="5"/>
      <c r="AB23" s="1" t="s">
        <v>47</v>
      </c>
      <c r="AC23" s="1">
        <f>COUNTIF(L2:L1048576,"=30 MIN")</f>
        <v>0</v>
      </c>
      <c r="AD23" s="4"/>
      <c r="AE23" s="4"/>
      <c r="AF23" s="4"/>
      <c r="AG23" s="5"/>
      <c r="AH23" s="5"/>
      <c r="AI23" s="5"/>
      <c r="AJ23" s="21" t="s">
        <v>57</v>
      </c>
      <c r="AK23" s="21">
        <f>COUNTIFS(E:E,"=LONDON",K:K,"=BREAKER BLOCK")</f>
        <v>0</v>
      </c>
      <c r="AL23" s="23">
        <f>COUNTIFS(E:E,"=LONDON",K:K,"=BREAKER BLOCK", M:M,"=WIN")</f>
        <v>0</v>
      </c>
      <c r="AM23" s="24">
        <f>COUNTIFS(E:E,"=LONDON",K:K,"=BREAKER BLOCK", M:M,"=LOSS")</f>
        <v>0</v>
      </c>
      <c r="AN23" s="25">
        <f>COUNTIFS(E:E,"=LONDON",K:K,"=BREAKER BLOCK", M:M,"=BREAK-EVEN")</f>
        <v>0</v>
      </c>
      <c r="AO23" s="1" t="e">
        <f>AL23/AK23</f>
        <v>#DIV/0!</v>
      </c>
      <c r="AP23" s="12"/>
      <c r="AQ23" s="12"/>
      <c r="AR23" s="12"/>
      <c r="AS23" s="12"/>
      <c r="AT23" s="12"/>
      <c r="AU23" s="12"/>
      <c r="AV23" s="12"/>
      <c r="AW23" s="12"/>
      <c r="AX23" s="12"/>
      <c r="AY23" s="5"/>
    </row>
    <row r="24" spans="20:51" x14ac:dyDescent="0.35">
      <c r="T24" s="5"/>
      <c r="U24" s="1" t="s">
        <v>34</v>
      </c>
      <c r="V24" s="1">
        <f>COUNTIF(I2:I1048576,"=SWING")</f>
        <v>0</v>
      </c>
      <c r="W24" s="4"/>
      <c r="X24" s="4"/>
      <c r="Y24" s="4"/>
      <c r="Z24" s="4"/>
      <c r="AA24" s="5"/>
      <c r="AB24" s="1" t="s">
        <v>17</v>
      </c>
      <c r="AC24" s="1">
        <f>COUNTIF(L2:L1048576,"=1 HR")</f>
        <v>0</v>
      </c>
      <c r="AD24" s="4"/>
      <c r="AE24" s="4"/>
      <c r="AF24" s="4"/>
      <c r="AG24" s="5"/>
      <c r="AH24" s="5"/>
      <c r="AI24" s="5"/>
      <c r="AJ24" s="22" t="s">
        <v>56</v>
      </c>
      <c r="AK24" s="22">
        <f>COUNTIFS(E:E,"=NEW YORK",K:K,"=BREAKER BLOCK")</f>
        <v>0</v>
      </c>
      <c r="AL24" s="23">
        <f>COUNTIFS(E:E,"=NEW YORK",K:K,"=BREAKER BLOCK", M:M,"=WIN")</f>
        <v>0</v>
      </c>
      <c r="AM24" s="24">
        <f>COUNTIFS(E:E,"=NEW YORK",K:K,"=BREAKER BLOCK", M:M,"=LOSS")</f>
        <v>0</v>
      </c>
      <c r="AN24" s="25">
        <f>COUNTIFS(E:E,"=NEW YORK",K:K,"=BREAKER BLOCK", M:M,"=BREAK-EVEN")</f>
        <v>0</v>
      </c>
      <c r="AO24" s="1" t="e">
        <f>AL24/AK24*100</f>
        <v>#DIV/0!</v>
      </c>
      <c r="AP24" s="12"/>
      <c r="AQ24" s="12"/>
      <c r="AR24" s="12"/>
      <c r="AS24" s="12"/>
      <c r="AT24" s="12"/>
      <c r="AU24" s="12"/>
      <c r="AV24" s="12"/>
      <c r="AW24" s="12"/>
      <c r="AX24" s="12"/>
      <c r="AY24" s="5"/>
    </row>
    <row r="25" spans="20:51" x14ac:dyDescent="0.35">
      <c r="T25" s="5"/>
      <c r="U25" s="4"/>
      <c r="V25" s="4"/>
      <c r="W25" s="4"/>
      <c r="X25" s="4"/>
      <c r="Y25" s="4"/>
      <c r="Z25" s="4"/>
      <c r="AA25" s="5"/>
      <c r="AB25" s="4"/>
      <c r="AC25" s="4"/>
      <c r="AD25" s="4"/>
      <c r="AE25" s="4"/>
      <c r="AF25" s="4"/>
      <c r="AG25" s="5"/>
      <c r="AH25" s="5"/>
      <c r="AI25" s="5"/>
      <c r="AJ25" s="1" t="s">
        <v>69</v>
      </c>
      <c r="AK25" s="1">
        <f>COUNTIFS(E:E,"=ASIAN",K:K,"=BREAKER BLOCK")</f>
        <v>0</v>
      </c>
      <c r="AL25" s="23">
        <f>COUNTIFS(E:E,"=ASIAN",K:K,"=BREAKER BLOCK", M:M,"=WIN")</f>
        <v>0</v>
      </c>
      <c r="AM25" s="24">
        <f>COUNTIFS(E:E,"=ASIAN",K:K,"=BREAKER BLOCK", M:M,"=LOSS")</f>
        <v>0</v>
      </c>
      <c r="AN25" s="25">
        <f>COUNTIFS(E:E,"=ASIAN",K:K,"=BREAKER BLOCK", M:M,"=BREAK-EVEN")</f>
        <v>0</v>
      </c>
      <c r="AO25" s="1" t="e">
        <f>AL25/AK25*100</f>
        <v>#DIV/0!</v>
      </c>
      <c r="AP25" s="12"/>
      <c r="AQ25" s="12"/>
      <c r="AR25" s="12"/>
      <c r="AS25" s="12"/>
      <c r="AT25" s="12"/>
      <c r="AU25" s="12"/>
      <c r="AV25" s="12"/>
      <c r="AW25" s="12"/>
      <c r="AX25" s="12"/>
      <c r="AY25" s="5"/>
    </row>
    <row r="26" spans="20:51" x14ac:dyDescent="0.35">
      <c r="T26" s="5"/>
      <c r="U26" s="36" t="s">
        <v>60</v>
      </c>
      <c r="V26" s="36"/>
      <c r="W26" s="36"/>
      <c r="X26" s="36"/>
      <c r="Y26" s="36"/>
      <c r="Z26" s="36"/>
      <c r="AA26" s="5"/>
      <c r="AB26" s="1" t="s">
        <v>37</v>
      </c>
      <c r="AC26" s="1" t="s">
        <v>24</v>
      </c>
      <c r="AD26" s="4"/>
      <c r="AE26" s="4"/>
      <c r="AF26" s="4"/>
      <c r="AG26" s="5"/>
      <c r="AH26" s="5"/>
      <c r="AI26" s="5"/>
      <c r="AP26" s="12"/>
      <c r="AQ26" s="12"/>
      <c r="AR26" s="12"/>
      <c r="AS26" s="12"/>
      <c r="AT26" s="12"/>
      <c r="AU26" s="12"/>
      <c r="AV26" s="12"/>
      <c r="AW26" s="12"/>
      <c r="AX26" s="12"/>
      <c r="AY26" s="5"/>
    </row>
    <row r="27" spans="20:51" x14ac:dyDescent="0.35">
      <c r="T27" s="5"/>
      <c r="U27" s="11" t="s">
        <v>61</v>
      </c>
      <c r="V27" s="1" t="s">
        <v>24</v>
      </c>
      <c r="W27" s="23" t="s">
        <v>58</v>
      </c>
      <c r="X27" s="24" t="s">
        <v>26</v>
      </c>
      <c r="Y27" s="25" t="s">
        <v>16</v>
      </c>
      <c r="Z27" s="1" t="s">
        <v>51</v>
      </c>
      <c r="AA27" s="5"/>
      <c r="AB27" s="1" t="s">
        <v>40</v>
      </c>
      <c r="AC27" s="1">
        <f>COUNTIF(N2:N1048576,"=YES")</f>
        <v>0</v>
      </c>
      <c r="AD27" s="4"/>
      <c r="AE27" s="4"/>
      <c r="AF27" s="4"/>
      <c r="AG27" s="5"/>
      <c r="AH27" s="5"/>
      <c r="AI27" s="5"/>
      <c r="AJ27" s="7" t="s">
        <v>67</v>
      </c>
      <c r="AK27" s="37" t="s">
        <v>59</v>
      </c>
      <c r="AL27" s="37"/>
      <c r="AM27" s="37"/>
      <c r="AN27" s="37"/>
      <c r="AO27" s="37"/>
      <c r="AP27" s="12"/>
      <c r="AQ27" s="12"/>
      <c r="AR27" s="12"/>
      <c r="AS27" s="12"/>
      <c r="AT27" s="12"/>
      <c r="AU27" s="12"/>
      <c r="AV27" s="12"/>
      <c r="AW27" s="12"/>
      <c r="AX27" s="12"/>
      <c r="AY27" s="5"/>
    </row>
    <row r="28" spans="20:51" x14ac:dyDescent="0.35">
      <c r="T28" s="5"/>
      <c r="U28" s="26" t="s">
        <v>57</v>
      </c>
      <c r="V28" s="21">
        <f>COUNTIF(E2:E1048576,"LONDON")</f>
        <v>0</v>
      </c>
      <c r="W28" s="23">
        <f>COUNTIFS(E2:E1048576,"=LONDON",M2:M1048576,"=WIN")</f>
        <v>0</v>
      </c>
      <c r="X28" s="24">
        <f>COUNTIFS(E2:E1048576,"=LONDON",M2:M1048576,"=LOSS")</f>
        <v>0</v>
      </c>
      <c r="Y28" s="25">
        <f>COUNTIFS(E2:E1048576,"=LONDON",M2:M1048576,"=BREAK-EVEN")</f>
        <v>0</v>
      </c>
      <c r="Z28" s="1" t="e">
        <f>W28/V28*100</f>
        <v>#DIV/0!</v>
      </c>
      <c r="AA28" s="5"/>
      <c r="AB28" s="1" t="s">
        <v>41</v>
      </c>
      <c r="AC28" s="1">
        <f>COUNTIF(O2:O1048576,"=YES")</f>
        <v>0</v>
      </c>
      <c r="AD28" s="4"/>
      <c r="AE28" s="4"/>
      <c r="AF28" s="4"/>
      <c r="AG28" s="5"/>
      <c r="AH28" s="5"/>
      <c r="AI28" s="5"/>
      <c r="AJ28" s="21" t="s">
        <v>57</v>
      </c>
      <c r="AK28" s="21">
        <f>COUNTIFS(E:E,"=LONDON",K:K,"=FVG/IMB")</f>
        <v>0</v>
      </c>
      <c r="AL28" s="23">
        <f>COUNTIFS(E:E,"=LONDON",K:K,"=FVG/IMB", M:M,"=WIN")</f>
        <v>0</v>
      </c>
      <c r="AM28" s="24">
        <f>COUNTIFS(E:E,"=LONDON",K:K,"=FVG/IMB", M:M,"=LOSS")</f>
        <v>0</v>
      </c>
      <c r="AN28" s="25">
        <f>COUNTIFS(E:E,"=LONDON",K:K,"=FVG/IMB", M:M,"=BREAK-EVEN")</f>
        <v>0</v>
      </c>
      <c r="AO28" s="1" t="e">
        <f>AL28/AK28*100</f>
        <v>#DIV/0!</v>
      </c>
      <c r="AP28" s="12"/>
      <c r="AQ28" s="12"/>
      <c r="AR28" s="12"/>
      <c r="AS28" s="12"/>
      <c r="AT28" s="12"/>
      <c r="AU28" s="12"/>
      <c r="AV28" s="12"/>
      <c r="AW28" s="12"/>
      <c r="AX28" s="12"/>
      <c r="AY28" s="5"/>
    </row>
    <row r="29" spans="20:51" x14ac:dyDescent="0.35">
      <c r="T29" s="5"/>
      <c r="U29" s="27" t="s">
        <v>56</v>
      </c>
      <c r="V29" s="20">
        <f>COUNTIF(E2:E1048576,"NEW YORK")</f>
        <v>0</v>
      </c>
      <c r="W29" s="23">
        <f>COUNTIFS(E2:E1048576,"=NEW YORK",M2:M1048576,"=WIN")</f>
        <v>0</v>
      </c>
      <c r="X29" s="24">
        <f>COUNTIFS(E2:E1048576,"=NEW YORK",M2:M1048576,"=LOSS")</f>
        <v>0</v>
      </c>
      <c r="Y29" s="25">
        <f>COUNTIFS(E2:E1048576,"=NEW YORK",M2:M1048576,"=BREAK-EVEN")</f>
        <v>0</v>
      </c>
      <c r="Z29" s="1" t="e">
        <f>W29/V29*100</f>
        <v>#DIV/0!</v>
      </c>
      <c r="AA29" s="5"/>
      <c r="AB29" s="1" t="s">
        <v>42</v>
      </c>
      <c r="AC29" s="1">
        <f>COUNTIF(P2:P1048576,"=YES")</f>
        <v>0</v>
      </c>
      <c r="AD29" s="4"/>
      <c r="AE29" s="4"/>
      <c r="AF29" s="4"/>
      <c r="AG29" s="5"/>
      <c r="AH29" s="5"/>
      <c r="AI29" s="5"/>
      <c r="AJ29" s="22" t="s">
        <v>56</v>
      </c>
      <c r="AK29" s="22">
        <f>COUNTIFS(E:E,"=NEW YORK",K:K,"=FVG/IMB")</f>
        <v>0</v>
      </c>
      <c r="AL29" s="23">
        <f>COUNTIFS(E:E,"=NEW YORK",K:K,"=FVG/IMB", M:M,"=WIN")</f>
        <v>0</v>
      </c>
      <c r="AM29" s="24">
        <f>COUNTIFS(E:E,"=NEW YORK",K:K,"=FVG/IMB", M:M,"=LOSS")</f>
        <v>0</v>
      </c>
      <c r="AN29" s="25">
        <f>COUNTIFS(E:E,"=NEW YORK",K:K,"=FVG/IMB", M:M,"=BREAK-EVEN")</f>
        <v>0</v>
      </c>
      <c r="AO29" s="1" t="e">
        <f>AL29/AK29*100</f>
        <v>#DIV/0!</v>
      </c>
      <c r="AP29" s="12"/>
      <c r="AQ29" s="12"/>
      <c r="AR29" s="12"/>
      <c r="AS29" s="12"/>
      <c r="AT29" s="12"/>
      <c r="AU29" s="12"/>
      <c r="AV29" s="12"/>
      <c r="AW29" s="12"/>
      <c r="AX29" s="12"/>
      <c r="AY29" s="5"/>
    </row>
    <row r="30" spans="20:51" x14ac:dyDescent="0.35">
      <c r="T30" s="5"/>
      <c r="U30" s="1" t="s">
        <v>69</v>
      </c>
      <c r="V30" s="1">
        <f>COUNTIF(E2:E1048576,"ASIAN")</f>
        <v>0</v>
      </c>
      <c r="W30" s="23">
        <f>COUNTIFS(E2:E1048576,"=ASIAN",M2:M1048576,"=WIN")</f>
        <v>0</v>
      </c>
      <c r="X30" s="24">
        <f>COUNTIFS(E2:E1048576,"=ASIAN",M2:M1048576,"=LOSS")</f>
        <v>0</v>
      </c>
      <c r="Y30" s="25">
        <f>COUNTIFS(E2:E1048576,"=ASIAN",M2:M1048576,"=BREAK-EVEN")</f>
        <v>0</v>
      </c>
      <c r="Z30" s="1" t="e">
        <f>W30/V30*100</f>
        <v>#DIV/0!</v>
      </c>
      <c r="AA30" s="5"/>
      <c r="AB30" s="1" t="s">
        <v>43</v>
      </c>
      <c r="AC30" s="1">
        <f>COUNTIF(Q2:Q1048576,"=YES")</f>
        <v>0</v>
      </c>
      <c r="AD30" s="4"/>
      <c r="AE30" s="4"/>
      <c r="AF30" s="4"/>
      <c r="AG30" s="5"/>
      <c r="AH30" s="5"/>
      <c r="AI30" s="5"/>
      <c r="AJ30" s="1" t="s">
        <v>69</v>
      </c>
      <c r="AK30" s="1">
        <f>COUNTIFS(E:E,"=ASIAN",K:K,"=FVG/IMB")</f>
        <v>0</v>
      </c>
      <c r="AL30" s="23">
        <f>COUNTIFS(E:E,"=ASIAN",K:K,"=FVG/IMB", M:M,"=WIN")</f>
        <v>0</v>
      </c>
      <c r="AM30" s="24">
        <f>COUNTIFS(E:E,"=ASIAN",K:K,"=FVG/IMB", M:M,"=LOSS")</f>
        <v>0</v>
      </c>
      <c r="AN30" s="25">
        <f>COUNTIFS(E:E,"=ASIAN",K:K,"=FVG/IMB", M:M,"=BREAK-EVEN")</f>
        <v>0</v>
      </c>
      <c r="AO30" s="1" t="e">
        <f>AL30/AK30*100</f>
        <v>#DIV/0!</v>
      </c>
      <c r="AP30" s="12"/>
      <c r="AQ30" s="12"/>
      <c r="AR30" s="12"/>
      <c r="AS30" s="12"/>
      <c r="AT30" s="12"/>
      <c r="AU30" s="12"/>
      <c r="AV30" s="12"/>
      <c r="AW30" s="12"/>
      <c r="AX30" s="12"/>
      <c r="AY30" s="5"/>
    </row>
    <row r="31" spans="20:51" x14ac:dyDescent="0.35">
      <c r="T31" s="5"/>
      <c r="U31" s="4"/>
      <c r="V31" s="4"/>
      <c r="W31" s="4"/>
      <c r="X31" s="4"/>
      <c r="Y31" s="4"/>
      <c r="Z31" s="4"/>
      <c r="AA31" s="5"/>
      <c r="AB31" s="4"/>
      <c r="AC31" s="4"/>
      <c r="AD31" s="4"/>
      <c r="AE31" s="4"/>
      <c r="AF31" s="4"/>
      <c r="AG31" s="5"/>
      <c r="AH31" s="5"/>
      <c r="AI31" s="5"/>
      <c r="AP31" s="12"/>
      <c r="AQ31" s="12"/>
      <c r="AR31" s="12"/>
      <c r="AS31" s="12"/>
      <c r="AT31" s="12"/>
      <c r="AU31" s="12"/>
      <c r="AV31" s="12"/>
      <c r="AW31" s="12"/>
      <c r="AX31" s="12"/>
      <c r="AY31" s="5"/>
    </row>
    <row r="32" spans="20:51" x14ac:dyDescent="0.35">
      <c r="T32" s="5"/>
      <c r="U32" s="4"/>
      <c r="V32" s="4"/>
      <c r="W32" s="4"/>
      <c r="X32" s="4"/>
      <c r="Y32" s="4"/>
      <c r="Z32" s="4"/>
      <c r="AA32" s="5"/>
      <c r="AB32" s="4"/>
      <c r="AC32" s="4"/>
      <c r="AD32" s="4"/>
      <c r="AE32" s="4"/>
      <c r="AF32" s="4"/>
      <c r="AG32" s="5"/>
      <c r="AH32" s="5"/>
      <c r="AI32" s="5"/>
      <c r="AJ32" s="4"/>
      <c r="AK32" s="4"/>
      <c r="AL32" s="4"/>
      <c r="AM32" s="4"/>
      <c r="AN32" s="4"/>
      <c r="AO32" s="4"/>
      <c r="AP32" s="12"/>
      <c r="AQ32" s="12"/>
      <c r="AR32" s="12"/>
      <c r="AS32" s="12"/>
      <c r="AT32" s="12"/>
      <c r="AU32" s="12"/>
      <c r="AV32" s="12"/>
      <c r="AW32" s="12"/>
      <c r="AX32" s="12"/>
      <c r="AY32" s="5"/>
    </row>
    <row r="33" spans="20:51" x14ac:dyDescent="0.35">
      <c r="T33" s="5"/>
      <c r="U33" s="4"/>
      <c r="V33" s="4"/>
      <c r="W33" s="4"/>
      <c r="X33" s="4"/>
      <c r="Y33" s="4"/>
      <c r="Z33" s="4"/>
      <c r="AA33" s="5"/>
      <c r="AB33" s="4"/>
      <c r="AC33" s="4"/>
      <c r="AD33" s="4"/>
      <c r="AE33" s="4"/>
      <c r="AF33" s="4"/>
      <c r="AG33" s="5"/>
      <c r="AH33" s="5"/>
      <c r="AI33" s="5"/>
      <c r="AJ33" s="4"/>
      <c r="AK33" s="4"/>
      <c r="AL33" s="4"/>
      <c r="AM33" s="4"/>
      <c r="AN33" s="4"/>
      <c r="AO33" s="4"/>
      <c r="AP33" s="12"/>
      <c r="AQ33" s="12"/>
      <c r="AR33" s="12"/>
      <c r="AS33" s="12"/>
      <c r="AT33" s="12"/>
      <c r="AU33" s="12"/>
      <c r="AV33" s="12"/>
      <c r="AW33" s="12"/>
      <c r="AX33" s="12"/>
      <c r="AY33" s="5"/>
    </row>
    <row r="34" spans="20:51" x14ac:dyDescent="0.35">
      <c r="T34" s="5"/>
      <c r="U34" s="4"/>
      <c r="V34" s="4"/>
      <c r="W34" s="4"/>
      <c r="X34" s="4"/>
      <c r="Y34" s="4"/>
      <c r="Z34" s="4"/>
      <c r="AA34" s="5"/>
      <c r="AB34" s="4"/>
      <c r="AC34" s="4"/>
      <c r="AD34" s="4"/>
      <c r="AE34" s="4"/>
      <c r="AF34" s="4"/>
      <c r="AG34" s="5"/>
      <c r="AH34" s="5"/>
      <c r="AI34" s="5"/>
      <c r="AP34" s="5"/>
      <c r="AQ34" s="5"/>
      <c r="AR34" s="5"/>
      <c r="AS34" s="5"/>
      <c r="AT34" s="5"/>
      <c r="AU34" s="5"/>
      <c r="AV34" s="5"/>
      <c r="AW34" s="5"/>
      <c r="AX34" s="5"/>
      <c r="AY34" s="5"/>
    </row>
    <row r="35" spans="20:51" x14ac:dyDescent="0.35">
      <c r="T35" s="5"/>
      <c r="U35" s="4"/>
      <c r="V35" s="4"/>
      <c r="W35" s="4"/>
      <c r="X35" s="4"/>
      <c r="Y35" s="4"/>
      <c r="Z35" s="4"/>
      <c r="AA35" s="5"/>
      <c r="AB35" s="4"/>
      <c r="AC35" s="4"/>
      <c r="AD35" s="4"/>
      <c r="AE35" s="4"/>
      <c r="AF35" s="4"/>
      <c r="AG35" s="5"/>
      <c r="AH35" s="5"/>
      <c r="AI35" s="5"/>
      <c r="AP35" s="5"/>
      <c r="AQ35" s="5"/>
      <c r="AR35" s="5"/>
      <c r="AS35" s="5"/>
      <c r="AT35" s="5"/>
      <c r="AU35" s="5"/>
      <c r="AV35" s="5"/>
      <c r="AW35" s="5"/>
      <c r="AX35" s="5"/>
      <c r="AY35" s="5"/>
    </row>
    <row r="36" spans="20:51" x14ac:dyDescent="0.35">
      <c r="T36" s="5"/>
      <c r="U36" s="4"/>
      <c r="V36" s="4"/>
      <c r="W36" s="4"/>
      <c r="X36" s="4"/>
      <c r="Y36" s="4"/>
      <c r="Z36" s="4"/>
      <c r="AA36" s="5"/>
      <c r="AB36" s="4"/>
      <c r="AC36" s="4"/>
      <c r="AD36" s="4"/>
      <c r="AE36" s="4"/>
      <c r="AF36" s="4"/>
      <c r="AG36" s="5"/>
      <c r="AH36" s="5"/>
      <c r="AI36" s="5"/>
      <c r="AP36" s="5"/>
      <c r="AQ36" s="5"/>
      <c r="AR36" s="5"/>
      <c r="AS36" s="5"/>
      <c r="AT36" s="5"/>
      <c r="AU36" s="5"/>
      <c r="AV36" s="5"/>
      <c r="AW36" s="5"/>
      <c r="AX36" s="5"/>
      <c r="AY36" s="5"/>
    </row>
    <row r="37" spans="20:51" x14ac:dyDescent="0.35">
      <c r="T37" s="5"/>
      <c r="U37" s="4"/>
      <c r="V37" s="4"/>
      <c r="W37" s="4"/>
      <c r="X37" s="4"/>
      <c r="Y37" s="4"/>
      <c r="Z37" s="4"/>
      <c r="AA37" s="5"/>
      <c r="AB37" s="4"/>
      <c r="AC37" s="4"/>
      <c r="AD37" s="4"/>
      <c r="AE37" s="4"/>
      <c r="AF37" s="4"/>
      <c r="AG37" s="5"/>
      <c r="AH37" s="5"/>
      <c r="AI37" s="5"/>
      <c r="AP37" s="5"/>
      <c r="AQ37" s="5"/>
      <c r="AR37" s="5"/>
      <c r="AS37" s="5"/>
      <c r="AT37" s="5"/>
      <c r="AU37" s="5"/>
      <c r="AV37" s="5"/>
      <c r="AW37" s="5"/>
      <c r="AX37" s="5"/>
      <c r="AY37" s="5"/>
    </row>
    <row r="38" spans="20:51" x14ac:dyDescent="0.35">
      <c r="T38" s="5"/>
      <c r="U38" s="15"/>
      <c r="V38" s="16"/>
      <c r="W38" s="4"/>
      <c r="X38" s="4"/>
      <c r="Y38" s="4"/>
      <c r="Z38" s="4"/>
      <c r="AA38" s="5"/>
      <c r="AB38" s="4"/>
      <c r="AC38" s="4"/>
      <c r="AD38" s="4"/>
      <c r="AE38" s="4"/>
      <c r="AF38" s="4"/>
      <c r="AG38" s="5"/>
      <c r="AH38" s="5"/>
      <c r="AI38" s="5"/>
      <c r="AP38" s="5"/>
      <c r="AQ38" s="5"/>
      <c r="AR38" s="5"/>
      <c r="AS38" s="5"/>
      <c r="AT38" s="5"/>
      <c r="AU38" s="5"/>
      <c r="AV38" s="5"/>
      <c r="AW38" s="5"/>
      <c r="AX38" s="5"/>
      <c r="AY38" s="5"/>
    </row>
    <row r="39" spans="20:51" x14ac:dyDescent="0.35">
      <c r="T39" s="5"/>
      <c r="U39" s="4"/>
      <c r="V39" s="4"/>
      <c r="W39" s="4"/>
      <c r="X39" s="4"/>
      <c r="Y39" s="4"/>
      <c r="Z39" s="4"/>
      <c r="AA39" s="5"/>
      <c r="AB39" s="4"/>
      <c r="AC39" s="4"/>
      <c r="AD39" s="4"/>
      <c r="AE39" s="4"/>
      <c r="AF39" s="4"/>
      <c r="AG39" s="5"/>
      <c r="AH39" s="5"/>
      <c r="AI39" s="5"/>
      <c r="AP39" s="5"/>
      <c r="AQ39" s="5"/>
      <c r="AR39" s="5"/>
      <c r="AS39" s="5"/>
      <c r="AT39" s="5"/>
      <c r="AU39" s="5"/>
      <c r="AV39" s="5"/>
      <c r="AW39" s="5"/>
      <c r="AX39" s="5"/>
      <c r="AY39" s="5"/>
    </row>
    <row r="40" spans="20:51" x14ac:dyDescent="0.35">
      <c r="T40" s="5"/>
      <c r="U40" s="4"/>
      <c r="V40" s="4"/>
      <c r="W40" s="4"/>
      <c r="X40" s="4"/>
      <c r="Y40" s="4"/>
      <c r="Z40" s="4"/>
      <c r="AA40" s="5"/>
      <c r="AB40" s="4"/>
      <c r="AC40" s="4"/>
      <c r="AD40" s="4"/>
      <c r="AE40" s="4"/>
      <c r="AF40" s="4"/>
      <c r="AG40" s="5"/>
      <c r="AH40" s="5"/>
      <c r="AI40" s="5"/>
      <c r="AP40" s="5"/>
      <c r="AQ40" s="5"/>
      <c r="AR40" s="5"/>
      <c r="AS40" s="5"/>
      <c r="AT40" s="5"/>
      <c r="AU40" s="5"/>
      <c r="AV40" s="5"/>
      <c r="AW40" s="5"/>
      <c r="AX40" s="5"/>
      <c r="AY40" s="5"/>
    </row>
    <row r="41" spans="20:51" x14ac:dyDescent="0.35">
      <c r="T41" s="5"/>
      <c r="U41" s="4"/>
      <c r="V41" s="4"/>
      <c r="W41" s="4"/>
      <c r="X41" s="4"/>
      <c r="Y41" s="4"/>
      <c r="Z41" s="4"/>
      <c r="AA41" s="5"/>
      <c r="AG41" s="5"/>
      <c r="AH41" s="5"/>
      <c r="AI41" s="5"/>
      <c r="AP41" s="5"/>
      <c r="AQ41" s="5"/>
      <c r="AR41" s="5"/>
      <c r="AS41" s="5"/>
      <c r="AT41" s="5"/>
      <c r="AU41" s="5"/>
      <c r="AV41" s="5"/>
      <c r="AW41" s="5"/>
      <c r="AX41" s="5"/>
      <c r="AY41" s="5"/>
    </row>
    <row r="42" spans="20:51" x14ac:dyDescent="0.35">
      <c r="T42" s="5"/>
      <c r="U42" s="4"/>
      <c r="V42" s="4"/>
      <c r="W42" s="4"/>
      <c r="X42" s="4"/>
      <c r="Y42" s="4"/>
      <c r="Z42" s="4"/>
      <c r="AA42" s="5"/>
      <c r="AG42" s="5"/>
      <c r="AH42" s="5"/>
      <c r="AI42" s="5"/>
      <c r="AP42" s="5"/>
      <c r="AQ42" s="5"/>
      <c r="AR42" s="5"/>
      <c r="AS42" s="5"/>
      <c r="AT42" s="5"/>
      <c r="AU42" s="5"/>
      <c r="AV42" s="5"/>
      <c r="AW42" s="5"/>
      <c r="AX42" s="5"/>
      <c r="AY42" s="5"/>
    </row>
    <row r="46" spans="20:51" x14ac:dyDescent="0.35">
      <c r="V46" s="2"/>
    </row>
    <row r="47" spans="20:51" x14ac:dyDescent="0.35">
      <c r="U47" s="2"/>
    </row>
  </sheetData>
  <mergeCells count="9">
    <mergeCell ref="AK27:AO27"/>
    <mergeCell ref="AB2:AC2"/>
    <mergeCell ref="U26:Z26"/>
    <mergeCell ref="AJ2:AN2"/>
    <mergeCell ref="AJ15:AO15"/>
    <mergeCell ref="AK3:AO3"/>
    <mergeCell ref="AK9:AO9"/>
    <mergeCell ref="AK16:AO16"/>
    <mergeCell ref="AK22:AO22"/>
  </mergeCells>
  <dataValidations count="12">
    <dataValidation type="list" showInputMessage="1" showErrorMessage="1" sqref="M2:M1048576" xr:uid="{5E9AD6A3-0543-4BF1-9C45-4EC939D2EB6F}">
      <formula1>"WIN, LOSS, BREAK-EVEN"</formula1>
    </dataValidation>
    <dataValidation type="list" showInputMessage="1" showErrorMessage="1" sqref="N2:Q1048576" xr:uid="{B9C726EC-F51C-4174-BD4B-BDA8EAE8F05C}">
      <formula1>"YES, NO"</formula1>
    </dataValidation>
    <dataValidation type="list" showInputMessage="1" showErrorMessage="1" sqref="L2:L1048576" xr:uid="{0CA1D1B2-538B-4513-B19F-1DF02E5E8289}">
      <formula1>"1 MIN, 3 MIN, 5 MIN, 15 MIN, 30 MIN, 1 HR"</formula1>
    </dataValidation>
    <dataValidation type="list" showInputMessage="1" showErrorMessage="1" sqref="K2:K1048576" xr:uid="{8F3916B7-FF55-4751-8540-FF1700D1232D}">
      <formula1>"ORDER BLOCK, BREAKER BLOCK, FVG/IMB"</formula1>
    </dataValidation>
    <dataValidation type="list" showInputMessage="1" showErrorMessage="1" sqref="J2 J3 J5:J1048576" xr:uid="{54289780-2D79-4390-B9A7-90C744A926E2}">
      <formula1>"BREAK &amp; RETEST, LIQUIDITY GRAB (PREV H L or TRENDLINE)"</formula1>
    </dataValidation>
    <dataValidation type="list" showInputMessage="1" showErrorMessage="1" sqref="I2:I1048576" xr:uid="{022354C1-5879-45C9-A949-EACA485DE4C7}">
      <formula1>"SCALP, DAY, SWING"</formula1>
    </dataValidation>
    <dataValidation type="list" showInputMessage="1" showErrorMessage="1" sqref="E2:E1048576" xr:uid="{02AFB85D-384B-40EB-AC55-C5BB92BC4949}">
      <formula1>"LONDON, NEW YORK, ASIAN"</formula1>
    </dataValidation>
    <dataValidation type="list" showInputMessage="1" showErrorMessage="1" sqref="D2:D1048576" xr:uid="{CF5A6005-D3A2-46C0-A9BD-9798C3A2574D}">
      <formula1>"MONDAY, TUESDAY, WEDNESDAY, THURSDAY, FRIDAY"</formula1>
    </dataValidation>
    <dataValidation type="list" showInputMessage="1" showErrorMessage="1" sqref="C1:C1048576" xr:uid="{A89A10F8-2C6E-498B-B44A-889FC1B8EDDB}">
      <formula1>"LONG, SHORT"</formula1>
    </dataValidation>
    <dataValidation type="list" showInputMessage="1" showErrorMessage="1" sqref="B2:B1048576" xr:uid="{52BD2FE5-045D-4ACC-A091-6056A4BB3F87}">
      <formula1>"GBPUSD, EURUSD, US30, OIL, BTC"</formula1>
    </dataValidation>
    <dataValidation type="date" allowBlank="1" showInputMessage="1" showErrorMessage="1" sqref="A2:A1048576" xr:uid="{70AF9D9E-0F0A-45D4-8D76-8A260B812DC9}">
      <formula1>38353</formula1>
      <formula2>45291</formula2>
    </dataValidation>
    <dataValidation type="list" showInputMessage="1" showErrorMessage="1" sqref="J4" xr:uid="{C530F885-AB9E-4172-9C18-BA087E28B37F}">
      <formula1>"BREAK &amp; RETEST, LIQUIDITY GRAB (PREV H/L or TRENDLINE)"</formula1>
    </dataValidation>
  </dataValidations>
  <pageMargins left="0.7" right="0.7" top="0.75" bottom="0.75" header="0.3" footer="0.3"/>
  <pageSetup orientation="portrait" r:id="rId1"/>
  <ignoredErrors>
    <ignoredError sqref="AC3:AC4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EU</vt:lpstr>
      <vt:lpstr>GU</vt:lpstr>
      <vt:lpstr>US30</vt:lpstr>
      <vt:lpstr>OIL</vt:lpstr>
      <vt:lpstr>BTC</vt:lpstr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COMMAND</dc:creator>
  <cp:lastModifiedBy>COMMAND</cp:lastModifiedBy>
  <dcterms:created xsi:type="dcterms:W3CDTF">2023-01-29T15:33:25Z</dcterms:created>
  <dcterms:modified xsi:type="dcterms:W3CDTF">2023-05-20T06:01:46Z</dcterms:modified>
</cp:coreProperties>
</file>