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partes de productos" sheetId="1" r:id="rId4"/>
    <sheet state="visible" name="costos directos" sheetId="2" r:id="rId5"/>
    <sheet state="visible" name="costos materia prima" sheetId="3" r:id="rId6"/>
    <sheet state="visible" name="Nomina" sheetId="4" r:id="rId7"/>
    <sheet state="visible" name="Flujo" sheetId="5" r:id="rId8"/>
    <sheet state="visible" name="Gastos" sheetId="6" r:id="rId9"/>
  </sheets>
  <externalReferences>
    <externalReference r:id="rId10"/>
  </externalReferences>
  <definedNames/>
  <calcPr/>
  <extLst>
    <ext uri="GoogleSheetsCustomDataVersion2">
      <go:sheetsCustomData xmlns:go="http://customooxmlschemas.google.com/" r:id="rId11" roundtripDataChecksum="QCdghNlMql6GvY4bZdWmAyCziXtu7/567xnPwvrCPvE="/>
    </ext>
  </extLst>
</workbook>
</file>

<file path=xl/sharedStrings.xml><?xml version="1.0" encoding="utf-8"?>
<sst xmlns="http://schemas.openxmlformats.org/spreadsheetml/2006/main" count="333" uniqueCount="185">
  <si>
    <t>Scooter</t>
  </si>
  <si>
    <t>E-Bike 1 Carga</t>
  </si>
  <si>
    <t>E-Bike 2 Montaña</t>
  </si>
  <si>
    <t>Objeto</t>
  </si>
  <si>
    <t>Prefabricado</t>
  </si>
  <si>
    <t>Cantidad</t>
  </si>
  <si>
    <t>Valor</t>
  </si>
  <si>
    <t>Subtotal</t>
  </si>
  <si>
    <t>Amortiguadores</t>
  </si>
  <si>
    <t>Si</t>
  </si>
  <si>
    <t>Chasis</t>
  </si>
  <si>
    <t>No</t>
  </si>
  <si>
    <t>Ruedas</t>
  </si>
  <si>
    <t>Horquilla</t>
  </si>
  <si>
    <t>Motor HUB</t>
  </si>
  <si>
    <t>Manubrio</t>
  </si>
  <si>
    <t>revisar</t>
  </si>
  <si>
    <t xml:space="preserve">Chasis </t>
  </si>
  <si>
    <t xml:space="preserve">Motor </t>
  </si>
  <si>
    <t>Cadena</t>
  </si>
  <si>
    <t>Carcasas</t>
  </si>
  <si>
    <t>Freno</t>
  </si>
  <si>
    <t>Asiento</t>
  </si>
  <si>
    <t>Soporte retraíble</t>
  </si>
  <si>
    <t>Frenos</t>
  </si>
  <si>
    <t>Batería</t>
  </si>
  <si>
    <t>Driver</t>
  </si>
  <si>
    <t>SI</t>
  </si>
  <si>
    <t>Electrónica</t>
  </si>
  <si>
    <t>Costo metal</t>
  </si>
  <si>
    <t>Costo Metal</t>
  </si>
  <si>
    <t>E-Bike 1 Total</t>
  </si>
  <si>
    <t>E-Bike 2 Total</t>
  </si>
  <si>
    <t>Scooter Total</t>
  </si>
  <si>
    <t>Costo aluminio $/kg</t>
  </si>
  <si>
    <t xml:space="preserve">Peso </t>
  </si>
  <si>
    <t>Peso kg</t>
  </si>
  <si>
    <t>Peso</t>
  </si>
  <si>
    <t>URLS</t>
  </si>
  <si>
    <t>https://articulo.mercadolibre.com.co/MCO-2878461158-amortiguador-trasero-de-scooter-electrico-for-kugoo-m2-_JM?highlight=false&amp;headerTopBrand=true#polycard_client=search-nordic&amp;position=33&amp;search_layout=stack&amp;type=item&amp;tracking_id=65141d05-daee-44f0-89dd-b0667a617d24</t>
  </si>
  <si>
    <r>
      <rPr>
        <color rgb="FF1155CC"/>
        <u/>
      </rPr>
      <t>Marco 26 Acero S/ Tenedor V-brake | Cuotas sin interés</t>
    </r>
  </si>
  <si>
    <t>https://articulo.mercadolibre.com.co/MCO-2870995496-accesorios-de-scooter-n22-pcs-ruedas-de-scooter-de-110-mm-_JM?highlight=false&amp;pdp_filters=price%3A50000-*&amp;headerTopBrand=true#polycard_client=search-nordic&amp;position=16&amp;search_layout=grid&amp;type=item&amp;tracking_id=bcef7e72-89ac-4b57-aa8c-08ea78f53fd3</t>
  </si>
  <si>
    <r>
      <rPr>
        <color rgb="FF1155CC"/>
        <u/>
      </rPr>
      <t>Amazon.com: 8 Inch Electric Scooter Hub Motor 48V 500W Brushless Gearless Hub Motor Electric Scooter Conversion Kit (8inch 48V500W) : Sports &amp; Outdoors</t>
    </r>
  </si>
  <si>
    <r>
      <rPr>
        <color rgb="FF1155CC"/>
        <u/>
      </rPr>
      <t>Manillar BUCKLOS MTB 580/620/720/780MM manillar de golondrina de bicicleta 25,4 MM 31,8 MM barra de mango de bicicleta de montaña barra elevadora de aluminio - AliExpress</t>
    </r>
  </si>
  <si>
    <r>
      <rPr>
        <color rgb="FF1155CC"/>
        <u/>
      </rPr>
      <t>Manillar BUCKLOS MTB 580/620/720/780MM manillar de golondrina de bicicleta 25,4 MM 31,8 MM barra de mango de bicicleta de montaña barra elevadora de aluminio - AliExpress</t>
    </r>
  </si>
  <si>
    <t>https://es.aliexpress.com/item/1005009111170303.html?spm=a2g0o.productlist.main.1.39a14bcbfvSaRc&amp;algo_pvid=ca6731bd-d53d-418b-aafd-9a2f313cb3c0&amp;algo_exp_id=ca6731bd-d53d-418b-aafd-9a2f313cb3c0-0&amp;pdp_ext_f=%7B%22order%22%3A%224%22%2C%22eval%22%3A%221%22%7D&amp;pdp_npi=4%40dis%21COP%2158930.17%2122395.35%21%21%21100.36%2138.14%21%402101e7f617495101651207068e846e%2112000047953355657%21sea%21CO%211942946691%21X&amp;curPageLogUid=4k4webvhvc2K&amp;utparam-url=scene%3Asearch%7Cquery_from%3A</t>
  </si>
  <si>
    <r>
      <rPr>
        <color rgb="FF1155CC"/>
        <u/>
      </rPr>
      <t>Par De Llantas Maxxis Rekon Race 29x2.25 darkwall Exo color Marrón | Cuotas sin interés</t>
    </r>
  </si>
  <si>
    <r>
      <rPr>
        <color rgb="FF1155CC"/>
        <u/>
      </rPr>
      <t>Par De Llantas Maxxis Rekon Race 29x2.25 darkwall Exo color Marrón | Cuotas sin interés</t>
    </r>
  </si>
  <si>
    <t>https://es.aliexpress.com/item/1005007037051050.html?aff_fcid=c6d14703aa9a4f469d61403dfa31786e-1749608012415-09652-_oCJQVn2&amp;tt=CPS_NORMAL&amp;aff_fsk=_oCJQVn2&amp;aff_platform=shareComponent-detail&amp;sk=_oCJQVn2&amp;aff_trace_key=c6d14703aa9a4f469d61403dfa31786e-1749608012415-09652-_oCJQVn2&amp;terminal_id=209329f9aab547d5b2a990ae50eb3043&amp;afSmartRedirect=y</t>
  </si>
  <si>
    <t>https://bafang.ovh/bafang-en/</t>
  </si>
  <si>
    <r>
      <rPr>
        <color rgb="FF1155CC"/>
        <u/>
      </rPr>
      <t>Cadenilla 9 Velocidades De Bicicleta Kmc Cadena Z9 | Cuotas sin interés</t>
    </r>
  </si>
  <si>
    <r>
      <rPr>
        <color rgb="FF1155CC"/>
        <u/>
      </rPr>
      <t>Cadenilla 9 Velocidades De Bicicleta Kmc Cadena Z9 | Cuotas sin interés</t>
    </r>
  </si>
  <si>
    <t>Kugoo M4/M4 Pro Scooter eléctrico Kit de freno de disco de 8/10 pulgadas - Piezas de repuesto de rotor de disco mecánico - AliExpress</t>
  </si>
  <si>
    <r>
      <rPr>
        <color rgb="FF1155CC"/>
        <u/>
      </rPr>
      <t>Asiento Sillín Bicicleta Gw Comfort Plus Antiprostático | Cuotas sin interés</t>
    </r>
  </si>
  <si>
    <r>
      <rPr>
        <color rgb="FF1155CC"/>
        <u/>
      </rPr>
      <t>Asiento Sillín Bicicleta Gw Comfort Plus Antiprostático | Cuotas sin interés</t>
    </r>
  </si>
  <si>
    <t>Soporte retraible</t>
  </si>
  <si>
    <t>https://es.aliexpress.com/item/1005006678053903.html?spm=a2g0o.productlist.main.7.2c5b7d73XaTSil&amp;algo_pvid=5eb43efd-61a9-4327-8496-703a27077989&amp;algo_exp_id=5eb43efd-61a9-4327-8496-703a27077989-6&amp;pdp_ext_f=%7B%22order%22%3A%22102%22%2C%22eval%22%3A%221%22%7D&amp;pdp_npi=4%40dis%21COP%21298179.84%21114548.16%21%21%21507.81%21195.08%21%402101c72a17495123766838603e4805%2112000038002606532%21sea%21CO%211942946691%21X&amp;curPageLogUid=23UwYlO70xR2&amp;utparam-url=scene%3Asearch%7Cquery_from%3A</t>
  </si>
  <si>
    <r>
      <rPr>
        <color rgb="FF1155CC"/>
        <u/>
      </rPr>
      <t>Juego De Frenos Para Bicicleta Aluminio Logan V / Brake | Cuotas sin interés</t>
    </r>
  </si>
  <si>
    <r>
      <rPr>
        <color rgb="FF1155CC"/>
        <u/>
      </rPr>
      <t>Juego De Frenos Para Bicicleta Aluminio Logan V / Brake | Cuotas sin interés</t>
    </r>
  </si>
  <si>
    <t>Paquete de batería de litio 10S3P 36V 8000mAh 36V batería de litio 18650 adecuada para batería de scooter eléctrico Xiaomi M365 + cargador de 42V - AliExpress</t>
  </si>
  <si>
    <t>Sistema de Costo Directo</t>
  </si>
  <si>
    <t>Costo Total Anual de Materiales de Productos</t>
  </si>
  <si>
    <t>CONCEPTO</t>
  </si>
  <si>
    <t>De carga</t>
  </si>
  <si>
    <t>Montaña</t>
  </si>
  <si>
    <t>Unidades producidas</t>
  </si>
  <si>
    <t>U</t>
  </si>
  <si>
    <t>Precio de venta unitario</t>
  </si>
  <si>
    <t>P</t>
  </si>
  <si>
    <t>Ventas</t>
  </si>
  <si>
    <t>V=P*U</t>
  </si>
  <si>
    <t>Gran Total</t>
  </si>
  <si>
    <t>Mensual</t>
  </si>
  <si>
    <t>Anual</t>
  </si>
  <si>
    <t>Costo total de las Nominas</t>
  </si>
  <si>
    <t>Costo total de inversión inicial</t>
  </si>
  <si>
    <t>Costos variables</t>
  </si>
  <si>
    <t>Materias primas</t>
  </si>
  <si>
    <t>$ 1.922.515</t>
  </si>
  <si>
    <t>$ 1.609.200</t>
  </si>
  <si>
    <t>Mano de obra</t>
  </si>
  <si>
    <t>$ 397.740</t>
  </si>
  <si>
    <t>$ 309.778</t>
  </si>
  <si>
    <t>$ 207.337</t>
  </si>
  <si>
    <t>Costos fijos</t>
  </si>
  <si>
    <t>$ 101.852</t>
  </si>
  <si>
    <t>$ 79.327</t>
  </si>
  <si>
    <t>$ 80.724</t>
  </si>
  <si>
    <t>Otros gastos variables</t>
  </si>
  <si>
    <t>$ 46.914</t>
  </si>
  <si>
    <t>$ 36.538</t>
  </si>
  <si>
    <t>$ 38.060</t>
  </si>
  <si>
    <t>Costo Total</t>
  </si>
  <si>
    <t>$ 199.990.641</t>
  </si>
  <si>
    <t>$ 211.623.726</t>
  </si>
  <si>
    <t>$ 301.317.141</t>
  </si>
  <si>
    <t>Costo Unitario</t>
  </si>
  <si>
    <t>$ 2.469.020</t>
  </si>
  <si>
    <t>$ 2.034.844</t>
  </si>
  <si>
    <t>$ 2.248.635</t>
  </si>
  <si>
    <t>Margen de beneficio bruto</t>
  </si>
  <si>
    <t>M=V-C</t>
  </si>
  <si>
    <t>$ 83.509.359</t>
  </si>
  <si>
    <t>$ 100.376.274</t>
  </si>
  <si>
    <t>$ 167.682.859</t>
  </si>
  <si>
    <t>Margen de beneficio unitario</t>
  </si>
  <si>
    <t>MU=M/U</t>
  </si>
  <si>
    <t>$ 1.030.980</t>
  </si>
  <si>
    <t>$ 965.156</t>
  </si>
  <si>
    <t>$ 1.251.365</t>
  </si>
  <si>
    <t>rentabilidad</t>
  </si>
  <si>
    <t>18 kg</t>
  </si>
  <si>
    <t>20 kg</t>
  </si>
  <si>
    <t>THE ROLLING VOLTS</t>
  </si>
  <si>
    <t>Planilla de Nomina</t>
  </si>
  <si>
    <t>DE:</t>
  </si>
  <si>
    <t>A</t>
  </si>
  <si>
    <t>NOMBRE</t>
  </si>
  <si>
    <t>DEVENGADOS</t>
  </si>
  <si>
    <t>DEDUCCIONES</t>
  </si>
  <si>
    <t>VALOR A</t>
  </si>
  <si>
    <t>BASICO</t>
  </si>
  <si>
    <t>DIAS</t>
  </si>
  <si>
    <t>TRANSP</t>
  </si>
  <si>
    <t>OTROS</t>
  </si>
  <si>
    <t>TOTAL</t>
  </si>
  <si>
    <t>SALUD</t>
  </si>
  <si>
    <t>PENSION</t>
  </si>
  <si>
    <t>PAGAR</t>
  </si>
  <si>
    <t>Operario Corte de Barras</t>
  </si>
  <si>
    <t>Operario Cortador a Chorro</t>
  </si>
  <si>
    <t>Operario ensamble tornillos</t>
  </si>
  <si>
    <t>Operario ensamble soporte de ejes</t>
  </si>
  <si>
    <t>Operario ensamble mangos</t>
  </si>
  <si>
    <t>Operario ensamble carcasas</t>
  </si>
  <si>
    <t>Operario ensamble Freno</t>
  </si>
  <si>
    <t>Operario ensamble Soporte retraible</t>
  </si>
  <si>
    <t>Operario Ensamble Bateria</t>
  </si>
  <si>
    <t>Operario Ensamble drive</t>
  </si>
  <si>
    <t>Operario Ensamble electronica</t>
  </si>
  <si>
    <t>Operario  ensamble ruedas</t>
  </si>
  <si>
    <t>Operario ensamble motor</t>
  </si>
  <si>
    <t>Operario ensamble cadena</t>
  </si>
  <si>
    <t>Operario ensamble asiento</t>
  </si>
  <si>
    <t xml:space="preserve">Jefe de Producción </t>
  </si>
  <si>
    <t>TOTALES</t>
  </si>
  <si>
    <t>APROPIACIONES</t>
  </si>
  <si>
    <t>PATRONO</t>
  </si>
  <si>
    <t>EMPLEADO</t>
  </si>
  <si>
    <t>%</t>
  </si>
  <si>
    <t>VALOR</t>
  </si>
  <si>
    <t>CESANTIAS</t>
  </si>
  <si>
    <t>INTERESES</t>
  </si>
  <si>
    <t>PRIMA</t>
  </si>
  <si>
    <t>VACACIONES</t>
  </si>
  <si>
    <t>PARA FISCALES</t>
  </si>
  <si>
    <t>TOTAL COSTO DE LA NOMINA DE PRODUCION</t>
  </si>
  <si>
    <t>AUTOMATIZACION</t>
  </si>
  <si>
    <t>Operario Celda</t>
  </si>
  <si>
    <t>Operario pulido</t>
  </si>
  <si>
    <t>Operario Pulido</t>
  </si>
  <si>
    <t>Operario Pintura</t>
  </si>
  <si>
    <t xml:space="preserve">Operario ensamble sillin </t>
  </si>
  <si>
    <t>Operario ensamble traccion</t>
  </si>
  <si>
    <t>Operario ensamble transmision</t>
  </si>
  <si>
    <t>Operario ensamble direccion</t>
  </si>
  <si>
    <t>Operario Ensamble marco</t>
  </si>
  <si>
    <t>Mes</t>
  </si>
  <si>
    <t>Ingresos operacionales</t>
  </si>
  <si>
    <t>Costos de producción</t>
  </si>
  <si>
    <t>Ganancias netas</t>
  </si>
  <si>
    <t>Depreciación</t>
  </si>
  <si>
    <t>Costos de inversión</t>
  </si>
  <si>
    <t>Amortización del crédito</t>
  </si>
  <si>
    <t>Flujo del periodo</t>
  </si>
  <si>
    <t>Flujo acumulado</t>
  </si>
  <si>
    <t>Costo de oportunidad</t>
  </si>
  <si>
    <t>VPN</t>
  </si>
  <si>
    <t>TIR</t>
  </si>
  <si>
    <t>PAYBACK</t>
  </si>
  <si>
    <t>CÀLCULO PRI</t>
  </si>
  <si>
    <t>PER ULT FC ACUM NEG</t>
  </si>
  <si>
    <t>ABS ULT FC ACUM NEG</t>
  </si>
  <si>
    <t>FC NETO SIG PER</t>
  </si>
  <si>
    <t>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</si>
</sst>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 $]#,##0"/>
    <numFmt numFmtId="165" formatCode="0.0000%"/>
    <numFmt numFmtId="166" formatCode="&quot;$&quot;\ #,##0;[Red]\-&quot;$&quot;\ #,##0"/>
    <numFmt numFmtId="167" formatCode="_-&quot;$&quot;\ * #,##0_-;\-&quot;$&quot;\ * #,##0_-;_-&quot;$&quot;\ * &quot;-&quot;??_-;_-@"/>
    <numFmt numFmtId="168" formatCode="_-&quot;$&quot;\ * #,##0.00_-;\-&quot;$&quot;\ * #,##0.00_-;_-&quot;$&quot;\ * &quot;-&quot;??_-;_-@"/>
    <numFmt numFmtId="169" formatCode="&quot;$&quot;#,##0"/>
  </numFmts>
  <fonts count="35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  <font>
      <b/>
      <sz val="11.0"/>
      <color theme="1"/>
      <name val="Aptos Narrow"/>
    </font>
    <font>
      <u/>
      <sz val="11.0"/>
      <color theme="1"/>
      <name val="Arial"/>
    </font>
    <font>
      <u/>
      <color rgb="FF0000FF"/>
    </font>
    <font>
      <u/>
      <color rgb="FF0000FF"/>
      <name val="Arial"/>
    </font>
    <font>
      <u/>
      <sz val="11.0"/>
      <color rgb="FF0000FF"/>
      <name val="Arial"/>
    </font>
    <font>
      <sz val="24.0"/>
      <color rgb="FF000000"/>
      <name val="&quot;Calibri light&quot;"/>
    </font>
    <font>
      <sz val="11.0"/>
      <color rgb="FF000000"/>
      <name val="Arial"/>
    </font>
    <font>
      <sz val="12.0"/>
      <color rgb="FF000000"/>
      <name val="Calibri"/>
    </font>
    <font>
      <sz val="13.0"/>
      <color rgb="FF595959"/>
      <name val="Calibri"/>
    </font>
    <font>
      <sz val="12.0"/>
      <color rgb="FF009688"/>
      <name val="Calibri"/>
    </font>
    <font>
      <sz val="13.0"/>
      <color rgb="FF000000"/>
      <name val="Calibri"/>
    </font>
    <font>
      <sz val="14.0"/>
      <color rgb="FF000000"/>
      <name val="Calibri"/>
    </font>
    <font>
      <sz val="14.0"/>
      <color rgb="FF009688"/>
      <name val="Calibri"/>
    </font>
    <font>
      <color theme="1"/>
      <name val="Aptos Narrow"/>
      <scheme val="minor"/>
    </font>
    <font>
      <color theme="1"/>
      <name val="Arial"/>
    </font>
    <font>
      <b/>
      <sz val="14.0"/>
      <color rgb="FF000000"/>
      <name val="Calibri"/>
    </font>
    <font>
      <b/>
      <i/>
      <sz val="12.0"/>
      <color rgb="FF000000"/>
      <name val="Calibri"/>
    </font>
    <font>
      <sz val="11.0"/>
      <color rgb="FF000000"/>
      <name val="Calibri"/>
    </font>
    <font>
      <b/>
      <color rgb="FF000000"/>
      <name val="Calibri"/>
    </font>
    <font>
      <sz val="48.0"/>
      <color theme="1"/>
      <name val="Times New Roman"/>
    </font>
    <font>
      <sz val="11.0"/>
      <color theme="1"/>
      <name val="Times New Roman"/>
    </font>
    <font>
      <sz val="36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20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6.0"/>
      <color theme="1"/>
      <name val="Times New Roman"/>
    </font>
    <font>
      <sz val="22.0"/>
      <color theme="1"/>
      <name val="Amasis MT Pro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F2F1"/>
        <bgColor rgb="FFDFF2F1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2F2F2"/>
      </right>
      <bottom style="thin">
        <color rgb="FFF2F2F2"/>
      </bottom>
    </border>
    <border>
      <top style="thin">
        <color rgb="FFDFF2F1"/>
      </top>
      <bottom style="thin">
        <color rgb="FFDFF2F1"/>
      </bottom>
    </border>
    <border>
      <left style="thin">
        <color rgb="FFDFF2F1"/>
      </left>
    </border>
    <border>
      <left style="thin">
        <color rgb="FFDFF2F1"/>
      </left>
      <top style="thin">
        <color rgb="FFDFF2F1"/>
      </top>
    </border>
    <border>
      <right style="thin">
        <color rgb="FFF2F2F2"/>
      </right>
      <top style="thin">
        <color rgb="FFDFF2F1"/>
      </top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DFF2F1"/>
      </left>
      <right style="thin">
        <color rgb="FFDFF2F1"/>
      </right>
      <top style="thin">
        <color rgb="FFDFF2F1"/>
      </top>
      <bottom style="thin">
        <color rgb="FFDFF2F1"/>
      </bottom>
    </border>
    <border>
      <bottom style="thin">
        <color rgb="FFDFF2F1"/>
      </bottom>
    </border>
    <border>
      <top style="thin">
        <color rgb="FFF2F2F2"/>
      </top>
      <bottom style="thin">
        <color rgb="FFDFF2F1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1" fillId="0" fontId="11" numFmtId="0" xfId="0" applyAlignment="1" applyBorder="1" applyFont="1">
      <alignment horizontal="center" readingOrder="0" shrinkToFit="0" wrapText="0"/>
    </xf>
    <xf borderId="5" fillId="0" fontId="12" numFmtId="0" xfId="0" applyAlignment="1" applyBorder="1" applyFont="1">
      <alignment horizontal="center" readingOrder="0" shrinkToFit="0" wrapText="0"/>
    </xf>
    <xf borderId="4" fillId="2" fontId="11" numFmtId="0" xfId="0" applyAlignment="1" applyBorder="1" applyFill="1" applyFont="1">
      <alignment horizontal="center" readingOrder="0" shrinkToFit="0" wrapText="0"/>
    </xf>
    <xf borderId="4" fillId="2" fontId="11" numFmtId="0" xfId="0" applyAlignment="1" applyBorder="1" applyFont="1">
      <alignment horizontal="center" shrinkToFit="0" wrapText="0"/>
    </xf>
    <xf borderId="6" fillId="3" fontId="13" numFmtId="0" xfId="0" applyAlignment="1" applyBorder="1" applyFill="1" applyFont="1">
      <alignment horizontal="center" readingOrder="0" shrinkToFit="0" wrapText="0"/>
    </xf>
    <xf borderId="4" fillId="0" fontId="11" numFmtId="0" xfId="0" applyAlignment="1" applyBorder="1" applyFont="1">
      <alignment horizontal="left" readingOrder="0" shrinkToFit="0" wrapText="0"/>
    </xf>
    <xf borderId="4" fillId="0" fontId="11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 shrinkToFit="0" wrapText="0"/>
    </xf>
    <xf borderId="4" fillId="0" fontId="14" numFmtId="164" xfId="0" applyAlignment="1" applyBorder="1" applyFont="1" applyNumberFormat="1">
      <alignment horizontal="right" readingOrder="0" shrinkToFit="0" wrapText="0"/>
    </xf>
    <xf borderId="5" fillId="0" fontId="12" numFmtId="0" xfId="0" applyAlignment="1" applyBorder="1" applyFont="1">
      <alignment horizontal="right" readingOrder="0" shrinkToFit="0" wrapText="0"/>
    </xf>
    <xf borderId="4" fillId="0" fontId="10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shrinkToFit="0" vertical="bottom" wrapText="0"/>
    </xf>
    <xf borderId="1" fillId="0" fontId="10" numFmtId="164" xfId="0" applyAlignment="1" applyBorder="1" applyFont="1" applyNumberFormat="1">
      <alignment horizontal="center" shrinkToFit="0" vertical="bottom" wrapText="0"/>
    </xf>
    <xf borderId="0" fillId="2" fontId="15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 shrinkToFit="0" wrapText="0"/>
    </xf>
    <xf borderId="4" fillId="0" fontId="17" numFmtId="0" xfId="0" applyBorder="1" applyFont="1"/>
    <xf borderId="4" fillId="0" fontId="18" numFmtId="0" xfId="0" applyAlignment="1" applyBorder="1" applyFont="1">
      <alignment readingOrder="0"/>
    </xf>
    <xf borderId="4" fillId="0" fontId="17" numFmtId="164" xfId="0" applyBorder="1" applyFont="1" applyNumberFormat="1"/>
    <xf borderId="4" fillId="2" fontId="19" numFmtId="0" xfId="0" applyAlignment="1" applyBorder="1" applyFont="1">
      <alignment horizontal="left" readingOrder="0" shrinkToFit="0" wrapText="0"/>
    </xf>
    <xf borderId="1" fillId="2" fontId="19" numFmtId="164" xfId="0" applyAlignment="1" applyBorder="1" applyFont="1" applyNumberFormat="1">
      <alignment horizontal="center" readingOrder="0" shrinkToFit="0" wrapText="0"/>
    </xf>
    <xf borderId="7" fillId="2" fontId="15" numFmtId="0" xfId="0" applyAlignment="1" applyBorder="1" applyFont="1">
      <alignment horizontal="left" readingOrder="0" shrinkToFit="0" wrapText="0"/>
    </xf>
    <xf borderId="8" fillId="0" fontId="11" numFmtId="0" xfId="0" applyAlignment="1" applyBorder="1" applyFont="1">
      <alignment horizontal="center" shrinkToFit="0" wrapText="0"/>
    </xf>
    <xf borderId="9" fillId="0" fontId="2" numFmtId="0" xfId="0" applyBorder="1" applyFont="1"/>
    <xf borderId="10" fillId="0" fontId="14" numFmtId="0" xfId="0" applyAlignment="1" applyBorder="1" applyFont="1">
      <alignment horizontal="center" shrinkToFit="0" wrapText="0"/>
    </xf>
    <xf borderId="11" fillId="0" fontId="20" numFmtId="0" xfId="0" applyAlignment="1" applyBorder="1" applyFont="1">
      <alignment horizontal="center" shrinkToFit="0" wrapText="0"/>
    </xf>
    <xf borderId="0" fillId="0" fontId="21" numFmtId="0" xfId="0" applyAlignment="1" applyFont="1">
      <alignment shrinkToFit="0" vertical="bottom" wrapText="0"/>
    </xf>
    <xf borderId="8" fillId="0" fontId="11" numFmtId="0" xfId="0" applyAlignment="1" applyBorder="1" applyFont="1">
      <alignment horizontal="center" readingOrder="0" shrinkToFit="0" wrapText="0"/>
    </xf>
    <xf borderId="5" fillId="0" fontId="14" numFmtId="0" xfId="0" applyAlignment="1" applyBorder="1" applyFont="1">
      <alignment horizontal="right" readingOrder="0" shrinkToFit="0" wrapText="0"/>
    </xf>
    <xf borderId="5" fillId="0" fontId="14" numFmtId="0" xfId="0" applyAlignment="1" applyBorder="1" applyFont="1">
      <alignment horizontal="right" shrinkToFit="0" wrapText="0"/>
    </xf>
    <xf borderId="5" fillId="0" fontId="12" numFmtId="0" xfId="0" applyAlignment="1" applyBorder="1" applyFont="1">
      <alignment horizontal="right" shrinkToFit="0" wrapText="0"/>
    </xf>
    <xf borderId="0" fillId="0" fontId="20" numFmtId="0" xfId="0" applyAlignment="1" applyFont="1">
      <alignment horizontal="left" readingOrder="0" shrinkToFit="0" wrapText="0"/>
    </xf>
    <xf borderId="0" fillId="0" fontId="20" numFmtId="0" xfId="0" applyAlignment="1" applyFont="1">
      <alignment horizontal="left" shrinkToFit="0" wrapText="0"/>
    </xf>
    <xf borderId="12" fillId="0" fontId="14" numFmtId="0" xfId="0" applyAlignment="1" applyBorder="1" applyFont="1">
      <alignment horizontal="right" readingOrder="0" shrinkToFit="0" wrapText="0"/>
    </xf>
    <xf borderId="12" fillId="0" fontId="12" numFmtId="0" xfId="0" applyAlignment="1" applyBorder="1" applyFont="1">
      <alignment horizontal="right" readingOrder="0" shrinkToFit="0" wrapText="0"/>
    </xf>
    <xf borderId="0" fillId="0" fontId="20" numFmtId="0" xfId="0" applyAlignment="1" applyFont="1">
      <alignment horizontal="center" shrinkToFit="0" wrapText="0"/>
    </xf>
    <xf borderId="13" fillId="0" fontId="14" numFmtId="0" xfId="0" applyAlignment="1" applyBorder="1" applyFont="1">
      <alignment horizontal="right" readingOrder="0" shrinkToFit="0" wrapText="0"/>
    </xf>
    <xf borderId="13" fillId="0" fontId="12" numFmtId="0" xfId="0" applyAlignment="1" applyBorder="1" applyFont="1">
      <alignment horizontal="right" readingOrder="0" shrinkToFit="0" wrapText="0"/>
    </xf>
    <xf borderId="13" fillId="0" fontId="14" numFmtId="0" xfId="0" applyAlignment="1" applyBorder="1" applyFont="1">
      <alignment horizontal="right" shrinkToFit="0" wrapText="0"/>
    </xf>
    <xf borderId="13" fillId="0" fontId="12" numFmtId="0" xfId="0" applyAlignment="1" applyBorder="1" applyFont="1">
      <alignment horizontal="right" shrinkToFit="0" wrapText="0"/>
    </xf>
    <xf borderId="0" fillId="0" fontId="20" numFmtId="0" xfId="0" applyAlignment="1" applyFont="1">
      <alignment horizontal="center" readingOrder="0" shrinkToFit="0" wrapText="0"/>
    </xf>
    <xf borderId="0" fillId="0" fontId="22" numFmtId="0" xfId="0" applyAlignment="1" applyFont="1">
      <alignment readingOrder="0" shrinkToFit="0" vertical="bottom" wrapText="0"/>
    </xf>
    <xf borderId="0" fillId="0" fontId="22" numFmtId="0" xfId="0" applyAlignment="1" applyFont="1">
      <alignment horizontal="center" shrinkToFit="0" vertical="bottom" wrapText="0"/>
    </xf>
    <xf borderId="0" fillId="0" fontId="22" numFmtId="9" xfId="0" applyAlignment="1" applyFont="1" applyNumberFormat="1">
      <alignment horizontal="right" readingOrder="0" shrinkToFit="0" vertical="bottom" wrapText="0"/>
    </xf>
    <xf borderId="0" fillId="0" fontId="23" numFmtId="0" xfId="0" applyAlignment="1" applyFont="1">
      <alignment horizontal="center"/>
    </xf>
    <xf borderId="0" fillId="0" fontId="24" numFmtId="0" xfId="0" applyFont="1"/>
    <xf borderId="0" fillId="0" fontId="25" numFmtId="0" xfId="0" applyFont="1"/>
    <xf borderId="4" fillId="0" fontId="26" numFmtId="0" xfId="0" applyAlignment="1" applyBorder="1" applyFont="1">
      <alignment horizontal="center" vertical="center"/>
    </xf>
    <xf borderId="4" fillId="0" fontId="27" numFmtId="15" xfId="0" applyAlignment="1" applyBorder="1" applyFont="1" applyNumberFormat="1">
      <alignment horizontal="center" readingOrder="0" vertical="center"/>
    </xf>
    <xf borderId="4" fillId="0" fontId="27" numFmtId="15" xfId="0" applyAlignment="1" applyBorder="1" applyFont="1" applyNumberFormat="1">
      <alignment horizontal="center" vertical="center"/>
    </xf>
    <xf borderId="0" fillId="0" fontId="28" numFmtId="0" xfId="0" applyFont="1"/>
    <xf borderId="14" fillId="0" fontId="27" numFmtId="0" xfId="0" applyAlignment="1" applyBorder="1" applyFont="1">
      <alignment horizontal="center" vertical="center"/>
    </xf>
    <xf borderId="1" fillId="0" fontId="27" numFmtId="0" xfId="0" applyAlignment="1" applyBorder="1" applyFont="1">
      <alignment horizontal="center"/>
    </xf>
    <xf borderId="14" fillId="0" fontId="27" numFmtId="0" xfId="0" applyAlignment="1" applyBorder="1" applyFont="1">
      <alignment horizontal="center"/>
    </xf>
    <xf borderId="15" fillId="0" fontId="2" numFmtId="0" xfId="0" applyBorder="1" applyFont="1"/>
    <xf borderId="4" fillId="0" fontId="27" numFmtId="0" xfId="0" applyAlignment="1" applyBorder="1" applyFont="1">
      <alignment horizontal="center"/>
    </xf>
    <xf borderId="15" fillId="0" fontId="27" numFmtId="0" xfId="0" applyAlignment="1" applyBorder="1" applyFont="1">
      <alignment horizontal="center"/>
    </xf>
    <xf borderId="0" fillId="0" fontId="29" numFmtId="0" xfId="0" applyFont="1"/>
    <xf borderId="4" fillId="0" fontId="30" numFmtId="0" xfId="0" applyAlignment="1" applyBorder="1" applyFont="1">
      <alignment readingOrder="0" vertical="center"/>
    </xf>
    <xf borderId="4" fillId="0" fontId="30" numFmtId="3" xfId="0" applyAlignment="1" applyBorder="1" applyFont="1" applyNumberFormat="1">
      <alignment readingOrder="0" vertical="center"/>
    </xf>
    <xf borderId="4" fillId="0" fontId="30" numFmtId="3" xfId="0" applyAlignment="1" applyBorder="1" applyFont="1" applyNumberFormat="1">
      <alignment horizontal="center" vertical="center"/>
    </xf>
    <xf borderId="4" fillId="0" fontId="30" numFmtId="3" xfId="0" applyAlignment="1" applyBorder="1" applyFont="1" applyNumberFormat="1">
      <alignment vertical="center"/>
    </xf>
    <xf borderId="4" fillId="0" fontId="30" numFmtId="0" xfId="0" applyAlignment="1" applyBorder="1" applyFont="1">
      <alignment vertical="center"/>
    </xf>
    <xf borderId="0" fillId="0" fontId="30" numFmtId="0" xfId="0" applyAlignment="1" applyFont="1">
      <alignment vertical="center"/>
    </xf>
    <xf borderId="0" fillId="0" fontId="30" numFmtId="3" xfId="0" applyAlignment="1" applyFont="1" applyNumberFormat="1">
      <alignment vertical="center"/>
    </xf>
    <xf borderId="16" fillId="0" fontId="3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7" numFmtId="0" xfId="0" applyAlignment="1" applyBorder="1" applyFont="1">
      <alignment horizontal="center" vertical="center"/>
    </xf>
    <xf borderId="20" fillId="0" fontId="27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7" numFmtId="0" xfId="0" applyAlignment="1" applyBorder="1" applyFont="1">
      <alignment horizontal="center"/>
    </xf>
    <xf borderId="23" fillId="0" fontId="2" numFmtId="0" xfId="0" applyBorder="1" applyFont="1"/>
    <xf borderId="16" fillId="0" fontId="29" numFmtId="0" xfId="0" applyBorder="1" applyFont="1"/>
    <xf borderId="24" fillId="0" fontId="29" numFmtId="165" xfId="0" applyBorder="1" applyFont="1" applyNumberFormat="1"/>
    <xf borderId="25" fillId="0" fontId="29" numFmtId="3" xfId="0" applyBorder="1" applyFont="1" applyNumberFormat="1"/>
    <xf borderId="26" fillId="0" fontId="29" numFmtId="3" xfId="0" applyBorder="1" applyFont="1" applyNumberFormat="1"/>
    <xf borderId="27" fillId="0" fontId="29" numFmtId="0" xfId="0" applyBorder="1" applyFont="1"/>
    <xf borderId="3" fillId="0" fontId="29" numFmtId="165" xfId="0" applyBorder="1" applyFont="1" applyNumberFormat="1"/>
    <xf borderId="4" fillId="0" fontId="29" numFmtId="3" xfId="0" applyBorder="1" applyFont="1" applyNumberFormat="1"/>
    <xf borderId="28" fillId="0" fontId="29" numFmtId="3" xfId="0" applyBorder="1" applyFont="1" applyNumberFormat="1"/>
    <xf borderId="29" fillId="0" fontId="29" numFmtId="0" xfId="0" applyAlignment="1" applyBorder="1" applyFont="1">
      <alignment horizontal="center"/>
    </xf>
    <xf borderId="30" fillId="0" fontId="29" numFmtId="9" xfId="0" applyBorder="1" applyFont="1" applyNumberFormat="1"/>
    <xf borderId="22" fillId="0" fontId="29" numFmtId="3" xfId="0" applyBorder="1" applyFont="1" applyNumberFormat="1"/>
    <xf borderId="22" fillId="0" fontId="29" numFmtId="0" xfId="0" applyBorder="1" applyFont="1"/>
    <xf borderId="31" fillId="0" fontId="29" numFmtId="3" xfId="0" applyBorder="1" applyFont="1" applyNumberFormat="1"/>
    <xf borderId="1" fillId="0" fontId="24" numFmtId="0" xfId="0" applyBorder="1" applyFont="1"/>
    <xf borderId="3" fillId="0" fontId="24" numFmtId="0" xfId="0" applyBorder="1" applyFont="1"/>
    <xf borderId="4" fillId="0" fontId="24" numFmtId="3" xfId="0" applyBorder="1" applyFont="1" applyNumberFormat="1"/>
    <xf borderId="0" fillId="0" fontId="32" numFmtId="0" xfId="0" applyAlignment="1" applyFont="1">
      <alignment horizontal="center"/>
    </xf>
    <xf borderId="0" fillId="0" fontId="33" numFmtId="0" xfId="0" applyFont="1"/>
    <xf borderId="4" fillId="4" fontId="34" numFmtId="0" xfId="0" applyAlignment="1" applyBorder="1" applyFill="1" applyFont="1">
      <alignment horizontal="center"/>
    </xf>
    <xf borderId="32" fillId="4" fontId="34" numFmtId="0" xfId="0" applyAlignment="1" applyBorder="1" applyFont="1">
      <alignment horizontal="center"/>
    </xf>
    <xf borderId="0" fillId="0" fontId="33" numFmtId="166" xfId="0" applyAlignment="1" applyFont="1" applyNumberFormat="1">
      <alignment horizontal="center"/>
    </xf>
    <xf borderId="0" fillId="0" fontId="33" numFmtId="167" xfId="0" applyAlignment="1" applyFont="1" applyNumberFormat="1">
      <alignment horizontal="center"/>
    </xf>
    <xf borderId="4" fillId="5" fontId="34" numFmtId="166" xfId="0" applyAlignment="1" applyBorder="1" applyFill="1" applyFont="1" applyNumberFormat="1">
      <alignment horizontal="center"/>
    </xf>
    <xf borderId="33" fillId="5" fontId="33" numFmtId="166" xfId="0" applyAlignment="1" applyBorder="1" applyFont="1" applyNumberFormat="1">
      <alignment horizontal="center"/>
    </xf>
    <xf borderId="0" fillId="0" fontId="33" numFmtId="168" xfId="0" applyAlignment="1" applyFont="1" applyNumberFormat="1">
      <alignment horizontal="center"/>
    </xf>
    <xf borderId="34" fillId="0" fontId="33" numFmtId="166" xfId="0" applyAlignment="1" applyBorder="1" applyFont="1" applyNumberFormat="1">
      <alignment horizontal="center"/>
    </xf>
    <xf borderId="35" fillId="5" fontId="34" numFmtId="166" xfId="0" applyAlignment="1" applyBorder="1" applyFont="1" applyNumberFormat="1">
      <alignment horizontal="center"/>
    </xf>
    <xf borderId="0" fillId="0" fontId="34" numFmtId="0" xfId="0" applyAlignment="1" applyFont="1">
      <alignment horizontal="center"/>
    </xf>
    <xf borderId="0" fillId="0" fontId="33" numFmtId="0" xfId="0" applyAlignment="1" applyFont="1">
      <alignment horizontal="center"/>
    </xf>
    <xf borderId="4" fillId="6" fontId="34" numFmtId="0" xfId="0" applyAlignment="1" applyBorder="1" applyFill="1" applyFont="1">
      <alignment horizontal="center"/>
    </xf>
    <xf borderId="4" fillId="0" fontId="33" numFmtId="9" xfId="0" applyAlignment="1" applyBorder="1" applyFont="1" applyNumberFormat="1">
      <alignment horizontal="center"/>
    </xf>
    <xf borderId="4" fillId="0" fontId="33" numFmtId="166" xfId="0" applyAlignment="1" applyBorder="1" applyFont="1" applyNumberFormat="1">
      <alignment horizontal="center"/>
    </xf>
    <xf borderId="4" fillId="0" fontId="33" numFmtId="2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33" numFmtId="169" xfId="0" applyBorder="1" applyFont="1" applyNumberFormat="1"/>
    <xf borderId="4" fillId="0" fontId="33" numFmtId="2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illa-de-excel-de-sistema-costo-directo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sto Directo"/>
      <sheetName val="Costo de proyecto"/>
      <sheetName val="Gastos"/>
      <sheetName val="Materia Prima"/>
      <sheetName val="Nomina"/>
      <sheetName val="Flujo"/>
      <sheetName val="Prestam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s.aliexpress.com/item/1005008747104024.html?spm=a2g0o.productlist.main.30.118726a58ATfCd&amp;algo_pvid=e215d06a-885f-47f5-9a5d-87f6f11f74ac&amp;algo_exp_id=e215d06a-885f-47f5-9a5d-87f6f11f74ac-8&amp;pdp_ext_f=%7B%22order%22%3A%22-1%22%2C%22eval%22%3A%221%22%7D&amp;pdp_npi=4%40dis%21COP%21477389.55%21181405.80%21%21%21813.01%21308.94%21%402103146f17495119982228742e6496%2112000046498689162%21sea%21CO%211942946691%21X&amp;curPageLogUid=wqc2oOHPkzmg&amp;utparam-url=scene%3Asearch%7Cquery_from%3A" TargetMode="External"/><Relationship Id="rId11" Type="http://schemas.openxmlformats.org/officeDocument/2006/relationships/hyperlink" Target="https://bafang.ovh/bafang-en/" TargetMode="External"/><Relationship Id="rId22" Type="http://schemas.openxmlformats.org/officeDocument/2006/relationships/hyperlink" Target="https://es.aliexpress.com/item/1005008747104024.html?spm=a2g0o.productlist.main.30.118726a58ATfCd&amp;algo_pvid=e215d06a-885f-47f5-9a5d-87f6f11f74ac&amp;algo_exp_id=e215d06a-885f-47f5-9a5d-87f6f11f74ac-8&amp;pdp_ext_f=%7B%22order%22%3A%22-1%22%2C%22eval%22%3A%221%22%7D&amp;pdp_npi=4%40dis%21COP%21477389.55%21181405.80%21%21%21813.01%21308.94%21%402103146f17495119982228742e6496%2112000046498689162%21sea%21CO%211942946691%21X&amp;curPageLogUid=wqc2oOHPkzmg&amp;utparam-url=scene%3Asearch%7Cquery_from%3A" TargetMode="External"/><Relationship Id="rId10" Type="http://schemas.openxmlformats.org/officeDocument/2006/relationships/hyperlink" Target="https://es.aliexpress.com/item/1005007037051050.html?aff_fcid=c6d14703aa9a4f469d61403dfa31786e-1749608012415-09652-_oCJQVn2&amp;tt=CPS_NORMAL&amp;aff_fsk=_oCJQVn2&amp;aff_platform=shareComponent-detail&amp;sk=_oCJQVn2&amp;aff_trace_key=c6d14703aa9a4f469d61403dfa31786e-1749608012415-09652-_oCJQVn2&amp;terminal_id=209329f9aab547d5b2a990ae50eb3043&amp;afSmartRedirect=y" TargetMode="External"/><Relationship Id="rId21" Type="http://schemas.openxmlformats.org/officeDocument/2006/relationships/hyperlink" Target="https://es.aliexpress.com/item/1005008747104024.html?spm=a2g0o.productlist.main.30.118726a58ATfCd&amp;algo_pvid=e215d06a-885f-47f5-9a5d-87f6f11f74ac&amp;algo_exp_id=e215d06a-885f-47f5-9a5d-87f6f11f74ac-8&amp;pdp_ext_f=%7B%22order%22%3A%22-1%22%2C%22eval%22%3A%221%22%7D&amp;pdp_npi=4%40dis%21COP%21477389.55%21181405.80%21%21%21813.01%21308.94%21%402103146f17495119982228742e6496%2112000046498689162%21sea%21CO%211942946691%21X&amp;curPageLogUid=wqc2oOHPkzmg&amp;utparam-url=scene%3Asearch%7Cquery_from%3A" TargetMode="External"/><Relationship Id="rId13" Type="http://schemas.openxmlformats.org/officeDocument/2006/relationships/hyperlink" Target="https://www.mercadolibre.com.co/cadenilla-9-velocidades-de-bicicleta-kmc-cadena-z9/p/MCO28297631?highlight=true&amp;searchVariation=MCO28297631&amp;headerTopBrand=false" TargetMode="External"/><Relationship Id="rId12" Type="http://schemas.openxmlformats.org/officeDocument/2006/relationships/hyperlink" Target="https://www.mercadolibre.com.co/cadenilla-9-velocidades-de-bicicleta-kmc-cadena-z9/p/MCO28297631?highlight=true&amp;searchVariation=MCO28297631&amp;headerTopBrand=fals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rticulo.mercadolibre.com.co/MCO-2878461158-amortiguador-trasero-de-scooter-electrico-for-kugoo-m2-_JM?highlight=false&amp;headerTopBrand=true" TargetMode="External"/><Relationship Id="rId2" Type="http://schemas.openxmlformats.org/officeDocument/2006/relationships/hyperlink" Target="https://articulo.mercadolibre.com.co/MCO-607870407-marco-26-acero-s-tenedor-v-brake-_JM" TargetMode="External"/><Relationship Id="rId3" Type="http://schemas.openxmlformats.org/officeDocument/2006/relationships/hyperlink" Target="https://articulo.mercadolibre.com.co/MCO-2870995496-accesorios-de-scooter-n22-pcs-ruedas-de-scooter-de-110-mm-_JM?highlight=false&amp;pdp_filters=price%3A50000-*&amp;headerTopBrand=true" TargetMode="External"/><Relationship Id="rId4" Type="http://schemas.openxmlformats.org/officeDocument/2006/relationships/hyperlink" Target="https://www.amazon.com/Electric-Scooter-Brushless-Gearless-Conversion/dp/B0CCP7HKQC/ref=sr_1_9?crid=6YK781RCJ1WA&amp;dib=eyJ2IjoiMSJ9.8IS0j9gdztS7NBn9uaodWwP5X7EHM-S3MSOXhz6fXjAlEHIAaSWcdqoH6YeBHoRfHlG60_gBub_2-i5jQMsxeSpIKnOnoDjhhCl-A7uJNWG1UMkGgtwLneD5i6Pz6yYhm3UESaayUM0LdRbl6NeIbYhI0oT2RZTbyEHOkhP4YahzOcMPiEqyaygVbKBNXCad70n7JSmugPGUimYOShf6gVrJ4P5vkRoe30tFoNpFbmE.Rz5HPzzfHPwDXC0KB-YdhZexHz0hLANDR_lWSu3NK3k&amp;dib_tag=se&amp;keywords=motor+HUB&amp;qid=1749614340&amp;sprefix=motor+hub%2Caps%2C174&amp;sr=8-9" TargetMode="External"/><Relationship Id="rId9" Type="http://schemas.openxmlformats.org/officeDocument/2006/relationships/hyperlink" Target="https://www.mercadolibre.com.co/par-de-llantas-maxxis-rekon-race-29x225-darkwall-exo-color-marron/p/MCO29029884?highlight=true&amp;searchVariation=MCO29029884&amp;headerTopBrand=false" TargetMode="External"/><Relationship Id="rId15" Type="http://schemas.openxmlformats.org/officeDocument/2006/relationships/hyperlink" Target="https://www.mercadolibre.com.co/asiento-sillin-bicicleta-gw-comfort-plus-antiprostatico/p/MCO27667110?pdp_filters=SHIPPING_ORIGIN%3A10215068&amp;searchVariation=MCO27667110&amp;highlight=true&amp;headerTopBrand=false" TargetMode="External"/><Relationship Id="rId14" Type="http://schemas.openxmlformats.org/officeDocument/2006/relationships/hyperlink" Target="https://es.aliexpress.com/item/1005009111170303.html?spm=a2g0o.productlist.main.1.39a14bcbfvSaRc&amp;algo_pvid=ca6731bd-d53d-418b-aafd-9a2f313cb3c0&amp;algo_exp_id=ca6731bd-d53d-418b-aafd-9a2f313cb3c0-0&amp;pdp_ext_f=%7B%22order%22%3A%224%22%2C%22eval%22%3A%221%22%7D&amp;pdp_npi=4%40dis%21COP%2158930.17%2122395.35%21%21%21100.36%2138.14%21%402101e7f617495101651207068e846e%2112000047953355657%21sea%21CO%211942946691%21X&amp;curPageLogUid=4k4webvhvc2K&amp;utparam-url=scene%3Asearch%7Cquery_from%3A" TargetMode="External"/><Relationship Id="rId17" Type="http://schemas.openxmlformats.org/officeDocument/2006/relationships/hyperlink" Target="https://es.aliexpress.com/item/1005006678053903.html?spm=a2g0o.productlist.main.7.2c5b7d73XaTSil&amp;algo_pvid=5eb43efd-61a9-4327-8496-703a27077989&amp;algo_exp_id=5eb43efd-61a9-4327-8496-703a27077989-6&amp;pdp_ext_f=%7B%22order%22%3A%22102%22%2C%22eval%22%3A%221%22%7D&amp;pdp_npi=4%40dis%21COP%21298179.84%21114548.16%21%21%21507.81%21195.08%21%402101c72a17495123766838603e4805%2112000038002606532%21sea%21CO%211942946691%21X&amp;curPageLogUid=23UwYlO70xR2&amp;utparam-url=scene%3Asearch%7Cquery_from%3A" TargetMode="External"/><Relationship Id="rId16" Type="http://schemas.openxmlformats.org/officeDocument/2006/relationships/hyperlink" Target="https://www.mercadolibre.com.co/asiento-sillin-bicicleta-gw-comfort-plus-antiprostatico/p/MCO27667110?pdp_filters=SHIPPING_ORIGIN%3A10215068&amp;searchVariation=MCO27667110&amp;highlight=true&amp;headerTopBrand=false" TargetMode="External"/><Relationship Id="rId5" Type="http://schemas.openxmlformats.org/officeDocument/2006/relationships/hyperlink" Target="https://es.aliexpress.com/item/1005007784671048.html?spm=a2g0o.productlist.main.2.7dd79c9bM4gx18&amp;aem_p4p_detail=202506091649588795982936271900004688286&amp;algo_pvid=d55d422c-bf43-491e-8485-e482b06d500c&amp;algo_exp_id=d55d422c-bf43-491e-8485-e482b06d500c-1&amp;pdp_ext_f=%7B%22order%22%3A%22211%22%2C%22eval%22%3A%221%22%7D&amp;pdp_npi=4%40dis%21COP%21104942.49%2152471.25%21%21%2124.88%2112.44%21%402101d9ee17495129983765355ed6d1%2112000042191724582%21sea%21CO%211942946691%21X&amp;curPageLogUid=RIBZibs2xFDk&amp;utparam-url=scene%3Asearch%7Cquery_from%3A&amp;search_p4p_id=202506091649588795982936271900004688286_1" TargetMode="External"/><Relationship Id="rId19" Type="http://schemas.openxmlformats.org/officeDocument/2006/relationships/hyperlink" Target="https://articulo.mercadolibre.com.co/MCO-1261720262-juego-de-frenos-para-bicicleta-aluminio-logan-v-brake-_JM?highlight=false&amp;pdp_filters=SHIPPING_ORIGIN%3A10215068&amp;headerTopBrand=false" TargetMode="External"/><Relationship Id="rId6" Type="http://schemas.openxmlformats.org/officeDocument/2006/relationships/hyperlink" Target="https://es.aliexpress.com/item/1005007784671048.html?spm=a2g0o.productlist.main.2.7dd79c9bM4gx18&amp;aem_p4p_detail=202506091649588795982936271900004688286&amp;algo_pvid=d55d422c-bf43-491e-8485-e482b06d500c&amp;algo_exp_id=d55d422c-bf43-491e-8485-e482b06d500c-1&amp;pdp_ext_f=%7B%22order%22%3A%22211%22%2C%22eval%22%3A%221%22%7D&amp;pdp_npi=4%40dis%21COP%21104942.49%2152471.25%21%21%2124.88%2112.44%21%402101d9ee17495129983765355ed6d1%2112000042191724582%21sea%21CO%211942946691%21X&amp;curPageLogUid=RIBZibs2xFDk&amp;utparam-url=scene%3Asearch%7Cquery_from%3A&amp;search_p4p_id=202506091649588795982936271900004688286_1" TargetMode="External"/><Relationship Id="rId18" Type="http://schemas.openxmlformats.org/officeDocument/2006/relationships/hyperlink" Target="https://articulo.mercadolibre.com.co/MCO-1261720262-juego-de-frenos-para-bicicleta-aluminio-logan-v-brake-_JM?highlight=false&amp;pdp_filters=SHIPPING_ORIGIN%3A10215068&amp;headerTopBrand=false" TargetMode="External"/><Relationship Id="rId7" Type="http://schemas.openxmlformats.org/officeDocument/2006/relationships/hyperlink" Target="https://es.aliexpress.com/item/1005009111170303.html?spm=a2g0o.productlist.main.1.39a14bcbfvSaRc&amp;algo_pvid=ca6731bd-d53d-418b-aafd-9a2f313cb3c0&amp;algo_exp_id=ca6731bd-d53d-418b-aafd-9a2f313cb3c0-0&amp;pdp_ext_f=%7B%22order%22%3A%224%22%2C%22eval%22%3A%221%22%7D&amp;pdp_npi=4%40dis%21COP%2158930.17%2122395.35%21%21%21100.36%2138.14%21%402101e7f617495101651207068e846e%2112000047953355657%21sea%21CO%211942946691%21X&amp;curPageLogUid=4k4webvhvc2K&amp;utparam-url=scene%3Asearch%7Cquery_from%3A" TargetMode="External"/><Relationship Id="rId8" Type="http://schemas.openxmlformats.org/officeDocument/2006/relationships/hyperlink" Target="https://www.mercadolibre.com.co/par-de-llantas-maxxis-rekon-race-29x225-darkwall-exo-color-marron/p/MCO29029884?highlight=true&amp;searchVariation=MCO29029884&amp;headerTopBrand=fal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2.38"/>
    <col customWidth="1" min="3" max="3" width="11.38"/>
    <col customWidth="1" min="4" max="4" width="12.38"/>
    <col customWidth="1" min="5" max="7" width="11.38"/>
    <col customWidth="1" min="8" max="8" width="12.38"/>
    <col customWidth="1" min="9" max="9" width="11.38"/>
    <col customWidth="1" min="10" max="10" width="12.75"/>
    <col customWidth="1" min="11" max="12" width="11.38"/>
    <col customWidth="1" min="13" max="13" width="10.88"/>
    <col customWidth="1" min="14" max="14" width="12.38"/>
    <col customWidth="1" min="15" max="15" width="11.38"/>
    <col customWidth="1" min="16" max="16" width="12.75"/>
    <col customWidth="1" min="17" max="17" width="11.38"/>
    <col customWidth="1" min="18" max="26" width="10.63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2"/>
      <c r="J1" s="2"/>
      <c r="K1" s="3"/>
      <c r="L1" s="4"/>
      <c r="M1" s="5" t="s">
        <v>2</v>
      </c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/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7"/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</v>
      </c>
      <c r="B3" s="9" t="s">
        <v>9</v>
      </c>
      <c r="C3" s="9">
        <v>1.0</v>
      </c>
      <c r="D3" s="10">
        <v>39000.0</v>
      </c>
      <c r="E3" s="9">
        <f t="shared" ref="E3:E14" si="1">C3*D3</f>
        <v>39000</v>
      </c>
      <c r="F3" s="4"/>
      <c r="G3" s="8" t="s">
        <v>10</v>
      </c>
      <c r="H3" s="8" t="s">
        <v>11</v>
      </c>
      <c r="I3" s="9">
        <v>1.0</v>
      </c>
      <c r="J3" s="10">
        <v>120000.0</v>
      </c>
      <c r="K3" s="9">
        <f t="shared" ref="K3:K13" si="2">I3*J3</f>
        <v>120000</v>
      </c>
      <c r="L3" s="4"/>
      <c r="M3" s="8" t="s">
        <v>10</v>
      </c>
      <c r="N3" s="8" t="s">
        <v>11</v>
      </c>
      <c r="O3" s="9">
        <v>1.0</v>
      </c>
      <c r="P3" s="9"/>
      <c r="Q3" s="9">
        <f t="shared" ref="Q3:Q13" si="3">O3*P3</f>
        <v>0</v>
      </c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12</v>
      </c>
      <c r="B4" s="9" t="s">
        <v>9</v>
      </c>
      <c r="C4" s="9">
        <v>1.0</v>
      </c>
      <c r="D4" s="10">
        <v>50100.0</v>
      </c>
      <c r="E4" s="9">
        <f t="shared" si="1"/>
        <v>50100</v>
      </c>
      <c r="F4" s="4"/>
      <c r="G4" s="8" t="s">
        <v>13</v>
      </c>
      <c r="H4" s="8" t="s">
        <v>11</v>
      </c>
      <c r="I4" s="9">
        <v>1.0</v>
      </c>
      <c r="J4" s="9"/>
      <c r="K4" s="9">
        <f t="shared" si="2"/>
        <v>0</v>
      </c>
      <c r="L4" s="4"/>
      <c r="M4" s="8" t="s">
        <v>13</v>
      </c>
      <c r="N4" s="8" t="s">
        <v>11</v>
      </c>
      <c r="O4" s="9">
        <v>1.0</v>
      </c>
      <c r="P4" s="9"/>
      <c r="Q4" s="9">
        <f t="shared" si="3"/>
        <v>0</v>
      </c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14</v>
      </c>
      <c r="B5" s="9" t="s">
        <v>9</v>
      </c>
      <c r="C5" s="9">
        <v>1.0</v>
      </c>
      <c r="D5" s="10">
        <v>440000.0</v>
      </c>
      <c r="E5" s="9">
        <f t="shared" si="1"/>
        <v>440000</v>
      </c>
      <c r="F5" s="4"/>
      <c r="G5" s="8" t="s">
        <v>15</v>
      </c>
      <c r="H5" s="8" t="s">
        <v>11</v>
      </c>
      <c r="I5" s="9">
        <v>1.0</v>
      </c>
      <c r="J5" s="10">
        <v>60000.0</v>
      </c>
      <c r="K5" s="9">
        <f t="shared" si="2"/>
        <v>60000</v>
      </c>
      <c r="L5" s="11" t="s">
        <v>16</v>
      </c>
      <c r="M5" s="8" t="s">
        <v>15</v>
      </c>
      <c r="N5" s="8" t="s">
        <v>9</v>
      </c>
      <c r="O5" s="9">
        <v>1.0</v>
      </c>
      <c r="P5" s="9"/>
      <c r="Q5" s="9">
        <f t="shared" si="3"/>
        <v>0</v>
      </c>
      <c r="R5" s="11" t="s">
        <v>16</v>
      </c>
      <c r="S5" s="4"/>
      <c r="T5" s="4"/>
      <c r="U5" s="4"/>
      <c r="V5" s="4"/>
      <c r="W5" s="4"/>
      <c r="X5" s="4"/>
      <c r="Y5" s="4"/>
      <c r="Z5" s="4"/>
    </row>
    <row r="6">
      <c r="A6" s="8" t="s">
        <v>17</v>
      </c>
      <c r="B6" s="9" t="s">
        <v>11</v>
      </c>
      <c r="C6" s="9">
        <v>1.0</v>
      </c>
      <c r="D6" s="9"/>
      <c r="E6" s="9">
        <f t="shared" si="1"/>
        <v>0</v>
      </c>
      <c r="F6" s="4"/>
      <c r="G6" s="8" t="s">
        <v>12</v>
      </c>
      <c r="H6" s="8" t="s">
        <v>9</v>
      </c>
      <c r="I6" s="9">
        <v>1.0</v>
      </c>
      <c r="J6" s="10">
        <v>200000.0</v>
      </c>
      <c r="K6" s="9">
        <f t="shared" si="2"/>
        <v>200000</v>
      </c>
      <c r="L6" s="4"/>
      <c r="M6" s="8" t="s">
        <v>12</v>
      </c>
      <c r="N6" s="8" t="s">
        <v>9</v>
      </c>
      <c r="O6" s="9">
        <v>1.0</v>
      </c>
      <c r="P6" s="10">
        <v>200000.0</v>
      </c>
      <c r="Q6" s="9">
        <f t="shared" si="3"/>
        <v>200000</v>
      </c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13</v>
      </c>
      <c r="B7" s="9" t="s">
        <v>11</v>
      </c>
      <c r="C7" s="9">
        <v>1.0</v>
      </c>
      <c r="D7" s="9"/>
      <c r="E7" s="9">
        <f t="shared" si="1"/>
        <v>0</v>
      </c>
      <c r="F7" s="4"/>
      <c r="G7" s="8" t="s">
        <v>18</v>
      </c>
      <c r="H7" s="8" t="s">
        <v>9</v>
      </c>
      <c r="I7" s="9">
        <v>1.0</v>
      </c>
      <c r="J7" s="10">
        <v>1700000.0</v>
      </c>
      <c r="K7" s="9">
        <f t="shared" si="2"/>
        <v>1700000</v>
      </c>
      <c r="L7" s="4"/>
      <c r="M7" s="8" t="s">
        <v>18</v>
      </c>
      <c r="N7" s="8" t="s">
        <v>9</v>
      </c>
      <c r="O7" s="9">
        <v>1.0</v>
      </c>
      <c r="P7" s="10">
        <v>1700000.0</v>
      </c>
      <c r="Q7" s="9">
        <f t="shared" si="3"/>
        <v>1700000</v>
      </c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9" t="s">
        <v>11</v>
      </c>
      <c r="C8" s="9">
        <v>1.0</v>
      </c>
      <c r="D8" s="9"/>
      <c r="E8" s="9">
        <f t="shared" si="1"/>
        <v>0</v>
      </c>
      <c r="F8" s="4"/>
      <c r="G8" s="8" t="s">
        <v>19</v>
      </c>
      <c r="H8" s="8" t="s">
        <v>9</v>
      </c>
      <c r="I8" s="9">
        <v>1.0</v>
      </c>
      <c r="J8" s="10">
        <v>60000.0</v>
      </c>
      <c r="K8" s="9">
        <f t="shared" si="2"/>
        <v>60000</v>
      </c>
      <c r="L8" s="4"/>
      <c r="M8" s="8" t="s">
        <v>19</v>
      </c>
      <c r="N8" s="8" t="s">
        <v>9</v>
      </c>
      <c r="O8" s="9">
        <v>1.0</v>
      </c>
      <c r="P8" s="10">
        <v>60000.0</v>
      </c>
      <c r="Q8" s="9">
        <f t="shared" si="3"/>
        <v>60000</v>
      </c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20</v>
      </c>
      <c r="B9" s="9" t="s">
        <v>9</v>
      </c>
      <c r="C9" s="9">
        <v>1.0</v>
      </c>
      <c r="D9" s="9"/>
      <c r="E9" s="9">
        <f t="shared" si="1"/>
        <v>0</v>
      </c>
      <c r="F9" s="4"/>
      <c r="G9" s="8" t="s">
        <v>20</v>
      </c>
      <c r="H9" s="8" t="s">
        <v>9</v>
      </c>
      <c r="I9" s="9">
        <v>1.0</v>
      </c>
      <c r="J9" s="9"/>
      <c r="K9" s="9">
        <f t="shared" si="2"/>
        <v>0</v>
      </c>
      <c r="L9" s="4"/>
      <c r="M9" s="8" t="s">
        <v>20</v>
      </c>
      <c r="N9" s="8" t="s">
        <v>9</v>
      </c>
      <c r="O9" s="9">
        <v>1.0</v>
      </c>
      <c r="P9" s="9"/>
      <c r="Q9" s="9">
        <f t="shared" si="3"/>
        <v>0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21</v>
      </c>
      <c r="B10" s="9" t="s">
        <v>9</v>
      </c>
      <c r="C10" s="9">
        <v>1.0</v>
      </c>
      <c r="D10" s="10">
        <v>23000.0</v>
      </c>
      <c r="E10" s="9">
        <f t="shared" si="1"/>
        <v>23000</v>
      </c>
      <c r="F10" s="4"/>
      <c r="G10" s="8" t="s">
        <v>22</v>
      </c>
      <c r="H10" s="8" t="s">
        <v>9</v>
      </c>
      <c r="I10" s="9">
        <v>1.0</v>
      </c>
      <c r="J10" s="10">
        <v>23000.0</v>
      </c>
      <c r="K10" s="9">
        <f t="shared" si="2"/>
        <v>23000</v>
      </c>
      <c r="L10" s="4"/>
      <c r="M10" s="8" t="s">
        <v>22</v>
      </c>
      <c r="N10" s="8" t="s">
        <v>9</v>
      </c>
      <c r="O10" s="9">
        <v>1.0</v>
      </c>
      <c r="P10" s="10">
        <v>23000.0</v>
      </c>
      <c r="Q10" s="9">
        <f t="shared" si="3"/>
        <v>23000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23</v>
      </c>
      <c r="B11" s="9" t="s">
        <v>9</v>
      </c>
      <c r="C11" s="9">
        <v>1.0</v>
      </c>
      <c r="D11" s="10">
        <v>115000.0</v>
      </c>
      <c r="E11" s="9">
        <f t="shared" si="1"/>
        <v>115000</v>
      </c>
      <c r="F11" s="4"/>
      <c r="G11" s="8" t="s">
        <v>24</v>
      </c>
      <c r="H11" s="8" t="s">
        <v>9</v>
      </c>
      <c r="I11" s="9">
        <v>1.0</v>
      </c>
      <c r="J11" s="10">
        <v>48000.0</v>
      </c>
      <c r="K11" s="9">
        <f t="shared" si="2"/>
        <v>48000</v>
      </c>
      <c r="L11" s="4"/>
      <c r="M11" s="8" t="s">
        <v>24</v>
      </c>
      <c r="N11" s="8" t="s">
        <v>9</v>
      </c>
      <c r="O11" s="9">
        <v>1.0</v>
      </c>
      <c r="P11" s="10">
        <v>48000.0</v>
      </c>
      <c r="Q11" s="9">
        <f t="shared" si="3"/>
        <v>48000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25</v>
      </c>
      <c r="B12" s="9" t="s">
        <v>9</v>
      </c>
      <c r="C12" s="9">
        <v>1.0</v>
      </c>
      <c r="D12" s="10">
        <v>182000.0</v>
      </c>
      <c r="E12" s="9">
        <f t="shared" si="1"/>
        <v>182000</v>
      </c>
      <c r="F12" s="4"/>
      <c r="G12" s="8" t="s">
        <v>25</v>
      </c>
      <c r="H12" s="8" t="s">
        <v>9</v>
      </c>
      <c r="I12" s="9">
        <v>1.0</v>
      </c>
      <c r="J12" s="10">
        <v>182000.0</v>
      </c>
      <c r="K12" s="9">
        <f t="shared" si="2"/>
        <v>182000</v>
      </c>
      <c r="L12" s="4"/>
      <c r="M12" s="8" t="s">
        <v>25</v>
      </c>
      <c r="N12" s="8" t="s">
        <v>9</v>
      </c>
      <c r="O12" s="9">
        <v>1.0</v>
      </c>
      <c r="P12" s="10">
        <v>182000.0</v>
      </c>
      <c r="Q12" s="9">
        <f t="shared" si="3"/>
        <v>182000</v>
      </c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26</v>
      </c>
      <c r="B13" s="9" t="s">
        <v>27</v>
      </c>
      <c r="C13" s="9">
        <v>1.0</v>
      </c>
      <c r="D13" s="9"/>
      <c r="E13" s="9">
        <f t="shared" si="1"/>
        <v>0</v>
      </c>
      <c r="F13" s="4"/>
      <c r="G13" s="8" t="s">
        <v>28</v>
      </c>
      <c r="H13" s="8" t="s">
        <v>9</v>
      </c>
      <c r="I13" s="9">
        <v>1.0</v>
      </c>
      <c r="J13" s="9"/>
      <c r="K13" s="9">
        <f t="shared" si="2"/>
        <v>0</v>
      </c>
      <c r="L13" s="4"/>
      <c r="M13" s="8" t="s">
        <v>28</v>
      </c>
      <c r="N13" s="8" t="s">
        <v>9</v>
      </c>
      <c r="O13" s="9">
        <v>1.0</v>
      </c>
      <c r="P13" s="9"/>
      <c r="Q13" s="9">
        <f t="shared" si="3"/>
        <v>0</v>
      </c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28</v>
      </c>
      <c r="B14" s="9" t="s">
        <v>9</v>
      </c>
      <c r="C14" s="9">
        <v>1.0</v>
      </c>
      <c r="D14" s="9"/>
      <c r="E14" s="9">
        <f t="shared" si="1"/>
        <v>0</v>
      </c>
      <c r="F14" s="4"/>
      <c r="G14" s="11" t="s">
        <v>29</v>
      </c>
      <c r="H14" s="4"/>
      <c r="I14" s="4"/>
      <c r="J14" s="4"/>
      <c r="K14" s="4">
        <f>H18*H17</f>
        <v>326000</v>
      </c>
      <c r="L14" s="4"/>
      <c r="M14" s="11" t="s">
        <v>30</v>
      </c>
      <c r="N14" s="4"/>
      <c r="O14" s="4"/>
      <c r="P14" s="4"/>
      <c r="Q14" s="4">
        <f>N17*N18</f>
        <v>400000</v>
      </c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29</v>
      </c>
      <c r="B15" s="4"/>
      <c r="C15" s="4"/>
      <c r="D15" s="4"/>
      <c r="E15" s="4">
        <f>B17*B18</f>
        <v>360000</v>
      </c>
      <c r="F15" s="4"/>
      <c r="G15" s="4"/>
      <c r="H15" s="4"/>
      <c r="I15" s="4"/>
      <c r="J15" s="4" t="s">
        <v>31</v>
      </c>
      <c r="K15" s="4">
        <f>SUM(K3:K14)</f>
        <v>2719000</v>
      </c>
      <c r="L15" s="4"/>
      <c r="M15" s="4"/>
      <c r="N15" s="4"/>
      <c r="O15" s="4"/>
      <c r="P15" s="4" t="s">
        <v>32</v>
      </c>
      <c r="Q15" s="4">
        <f>SUM(Q3:Q14)</f>
        <v>2613000</v>
      </c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 t="s">
        <v>33</v>
      </c>
      <c r="E16" s="4">
        <f>SUM(E2:E15)</f>
        <v>1209100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34</v>
      </c>
      <c r="B17" s="11">
        <v>20000.0</v>
      </c>
      <c r="C17" s="4"/>
      <c r="D17" s="4"/>
      <c r="E17" s="4"/>
      <c r="F17" s="4"/>
      <c r="G17" s="11" t="s">
        <v>34</v>
      </c>
      <c r="H17" s="11">
        <v>20000.0</v>
      </c>
      <c r="I17" s="4"/>
      <c r="J17" s="4"/>
      <c r="K17" s="4"/>
      <c r="L17" s="4"/>
      <c r="M17" s="11" t="s">
        <v>34</v>
      </c>
      <c r="N17" s="11">
        <v>20000.0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35</v>
      </c>
      <c r="B18" s="11">
        <v>18.0</v>
      </c>
      <c r="C18" s="4"/>
      <c r="D18" s="4"/>
      <c r="E18" s="4"/>
      <c r="F18" s="4"/>
      <c r="G18" s="11" t="s">
        <v>36</v>
      </c>
      <c r="H18" s="11">
        <v>16.3</v>
      </c>
      <c r="I18" s="4"/>
      <c r="J18" s="4"/>
      <c r="K18" s="4"/>
      <c r="L18" s="4"/>
      <c r="M18" s="11" t="s">
        <v>37</v>
      </c>
      <c r="N18" s="11">
        <v>20.0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38</v>
      </c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8</v>
      </c>
      <c r="B20" s="14" t="s">
        <v>39</v>
      </c>
      <c r="C20" s="4"/>
      <c r="D20" s="4"/>
      <c r="E20" s="4"/>
      <c r="F20" s="4"/>
      <c r="G20" s="8" t="s">
        <v>10</v>
      </c>
      <c r="H20" s="15" t="s">
        <v>40</v>
      </c>
      <c r="I20" s="4"/>
      <c r="J20" s="4"/>
      <c r="K20" s="4"/>
      <c r="L20" s="4"/>
      <c r="M20" s="8" t="s">
        <v>10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12</v>
      </c>
      <c r="B21" s="14" t="s">
        <v>41</v>
      </c>
      <c r="C21" s="4"/>
      <c r="D21" s="4"/>
      <c r="E21" s="4"/>
      <c r="F21" s="4"/>
      <c r="G21" s="8" t="s">
        <v>13</v>
      </c>
      <c r="H21" s="4"/>
      <c r="I21" s="4"/>
      <c r="J21" s="4"/>
      <c r="K21" s="4"/>
      <c r="L21" s="4"/>
      <c r="M21" s="8" t="s">
        <v>13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14</v>
      </c>
      <c r="B22" s="15" t="s">
        <v>42</v>
      </c>
      <c r="C22" s="4"/>
      <c r="D22" s="4"/>
      <c r="E22" s="4"/>
      <c r="F22" s="4"/>
      <c r="G22" s="8" t="s">
        <v>15</v>
      </c>
      <c r="H22" s="15" t="s">
        <v>43</v>
      </c>
      <c r="I22" s="4"/>
      <c r="J22" s="4"/>
      <c r="K22" s="4"/>
      <c r="L22" s="4"/>
      <c r="M22" s="8" t="s">
        <v>15</v>
      </c>
      <c r="N22" s="15" t="s">
        <v>44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17</v>
      </c>
      <c r="B23" s="14" t="s">
        <v>45</v>
      </c>
      <c r="C23" s="4"/>
      <c r="D23" s="4"/>
      <c r="E23" s="4"/>
      <c r="F23" s="4"/>
      <c r="G23" s="8" t="s">
        <v>12</v>
      </c>
      <c r="H23" s="15" t="s">
        <v>46</v>
      </c>
      <c r="I23" s="4"/>
      <c r="J23" s="4"/>
      <c r="K23" s="4"/>
      <c r="L23" s="4"/>
      <c r="M23" s="8" t="s">
        <v>12</v>
      </c>
      <c r="N23" s="15" t="s">
        <v>47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13</v>
      </c>
      <c r="B24" s="4"/>
      <c r="C24" s="4"/>
      <c r="D24" s="4"/>
      <c r="E24" s="4"/>
      <c r="F24" s="4"/>
      <c r="G24" s="8" t="s">
        <v>18</v>
      </c>
      <c r="H24" s="15" t="s">
        <v>48</v>
      </c>
      <c r="I24" s="4"/>
      <c r="J24" s="4"/>
      <c r="K24" s="4"/>
      <c r="L24" s="4"/>
      <c r="M24" s="8" t="s">
        <v>18</v>
      </c>
      <c r="N24" s="15" t="s">
        <v>49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15</v>
      </c>
      <c r="C25" s="4"/>
      <c r="D25" s="4"/>
      <c r="E25" s="4"/>
      <c r="F25" s="4"/>
      <c r="G25" s="8" t="s">
        <v>19</v>
      </c>
      <c r="H25" s="15" t="s">
        <v>50</v>
      </c>
      <c r="I25" s="4"/>
      <c r="J25" s="4"/>
      <c r="K25" s="4"/>
      <c r="L25" s="4"/>
      <c r="M25" s="8" t="s">
        <v>19</v>
      </c>
      <c r="N25" s="15" t="s">
        <v>51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20</v>
      </c>
      <c r="B26" s="4"/>
      <c r="C26" s="4"/>
      <c r="D26" s="4"/>
      <c r="E26" s="4"/>
      <c r="F26" s="4"/>
      <c r="G26" s="8" t="s">
        <v>20</v>
      </c>
      <c r="H26" s="4"/>
      <c r="I26" s="4"/>
      <c r="J26" s="4"/>
      <c r="K26" s="4"/>
      <c r="L26" s="4"/>
      <c r="M26" s="8" t="s">
        <v>20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21</v>
      </c>
      <c r="B27" s="16" t="s">
        <v>52</v>
      </c>
      <c r="C27" s="4"/>
      <c r="D27" s="4"/>
      <c r="E27" s="4"/>
      <c r="F27" s="4"/>
      <c r="G27" s="8" t="s">
        <v>22</v>
      </c>
      <c r="H27" s="15" t="s">
        <v>53</v>
      </c>
      <c r="I27" s="4"/>
      <c r="J27" s="4"/>
      <c r="K27" s="4"/>
      <c r="L27" s="4"/>
      <c r="M27" s="8" t="s">
        <v>22</v>
      </c>
      <c r="N27" s="15" t="s">
        <v>54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55</v>
      </c>
      <c r="B28" s="17" t="s">
        <v>56</v>
      </c>
      <c r="C28" s="4"/>
      <c r="D28" s="4"/>
      <c r="E28" s="4"/>
      <c r="F28" s="4"/>
      <c r="G28" s="8" t="s">
        <v>24</v>
      </c>
      <c r="H28" s="15" t="s">
        <v>57</v>
      </c>
      <c r="I28" s="4"/>
      <c r="J28" s="4"/>
      <c r="K28" s="4"/>
      <c r="L28" s="4"/>
      <c r="M28" s="8" t="s">
        <v>24</v>
      </c>
      <c r="N28" s="15" t="s">
        <v>58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25</v>
      </c>
      <c r="B29" s="16" t="s">
        <v>59</v>
      </c>
      <c r="C29" s="4"/>
      <c r="D29" s="4"/>
      <c r="E29" s="4"/>
      <c r="F29" s="4"/>
      <c r="G29" s="8" t="s">
        <v>25</v>
      </c>
      <c r="H29" s="16" t="s">
        <v>59</v>
      </c>
      <c r="I29" s="4"/>
      <c r="J29" s="4"/>
      <c r="K29" s="4"/>
      <c r="L29" s="4"/>
      <c r="M29" s="8" t="s">
        <v>25</v>
      </c>
      <c r="N29" s="16" t="s">
        <v>59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 t="s">
        <v>26</v>
      </c>
      <c r="B30" s="4"/>
      <c r="C30" s="4"/>
      <c r="D30" s="4"/>
      <c r="E30" s="4"/>
      <c r="F30" s="4"/>
      <c r="G30" s="8" t="s">
        <v>28</v>
      </c>
      <c r="H30" s="4"/>
      <c r="I30" s="4"/>
      <c r="J30" s="4"/>
      <c r="K30" s="4"/>
      <c r="L30" s="4"/>
      <c r="M30" s="8" t="s">
        <v>28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E1"/>
    <mergeCell ref="G1:K1"/>
    <mergeCell ref="M1:Q1"/>
    <mergeCell ref="A19:Q19"/>
  </mergeCells>
  <hyperlinks>
    <hyperlink r:id="rId1" location="polycard_client=search-nordic&amp;position=33&amp;search_layout=stack&amp;type=item&amp;tracking_id=65141d05-daee-44f0-89dd-b0667a617d24" ref="B20"/>
    <hyperlink r:id="rId2" location="is_advertising=true&amp;backend_model=search-backend&amp;position=12&amp;search_layout=stack&amp;type=pad&amp;tracking_id=6b8a1db8-85ba-499d-a79a-dcbc24f9c620&amp;is_advertising=true&amp;ad_domain=VQCATCORE_LST&amp;ad_position=12&amp;ad_click_id=OWQwN2EzY2UtZGRjMS00NTEwLTgyMjMtZjc2YTRlNjhhNzhj" ref="H20"/>
    <hyperlink r:id="rId3" location="polycard_client=search-nordic&amp;position=16&amp;search_layout=grid&amp;type=item&amp;tracking_id=bcef7e72-89ac-4b57-aa8c-08ea78f53fd3" ref="B21"/>
    <hyperlink r:id="rId4" ref="B22"/>
    <hyperlink r:id="rId5" ref="H22"/>
    <hyperlink r:id="rId6" ref="N22"/>
    <hyperlink r:id="rId7" ref="B23"/>
    <hyperlink r:id="rId8" location="polycard_client=search-nordic&amp;searchVariation=MCO29029884&amp;position=8&amp;search_layout=grid&amp;type=product&amp;tracking_id=895fd8f5-9653-486d-b5ac-5f1a0288e394&amp;wid=MCO1460816649&amp;sid=search" ref="H23"/>
    <hyperlink r:id="rId9" location="polycard_client=search-nordic&amp;searchVariation=MCO29029884&amp;position=8&amp;search_layout=grid&amp;type=product&amp;tracking_id=895fd8f5-9653-486d-b5ac-5f1a0288e394&amp;wid=MCO1460816649&amp;sid=search" ref="N23"/>
    <hyperlink r:id="rId10" ref="H24"/>
    <hyperlink r:id="rId11" ref="N24"/>
    <hyperlink r:id="rId12" location="polycard_client=search-nordic&amp;searchVariation=MCO28297631&amp;position=15&amp;search_layout=grid&amp;type=product&amp;tracking_id=e226b7dd-90b9-4adc-9063-6165924a5f65&amp;wid=MCO2075478986&amp;sid=search" ref="H25"/>
    <hyperlink r:id="rId13" location="polycard_client=search-nordic&amp;searchVariation=MCO28297631&amp;position=15&amp;search_layout=grid&amp;type=product&amp;tracking_id=e226b7dd-90b9-4adc-9063-6165924a5f65&amp;wid=MCO2075478986&amp;sid=search" ref="N25"/>
    <hyperlink r:id="rId14" ref="B27"/>
    <hyperlink r:id="rId15" location="polycard_client=search-nordic&amp;searchVariation=MCO27667110&amp;position=3&amp;search_layout=grid&amp;type=product&amp;tracking_id=41c397a0-440f-4e02-b6d3-1ec0beff6bfb&amp;wid=MCO1488583293&amp;sid=search" ref="H27"/>
    <hyperlink r:id="rId16" location="polycard_client=search-nordic&amp;searchVariation=MCO27667110&amp;position=3&amp;search_layout=grid&amp;type=product&amp;tracking_id=41c397a0-440f-4e02-b6d3-1ec0beff6bfb&amp;wid=MCO1488583293&amp;sid=search" ref="N27"/>
    <hyperlink r:id="rId17" ref="B28"/>
    <hyperlink r:id="rId18" location="polycard_client=search-nordic&amp;position=21&amp;search_layout=grid&amp;type=item&amp;tracking_id=5248735c-0b0e-416b-8b85-a5cb390032f5&amp;wid=MCO1261720262&amp;sid=search" ref="H28"/>
    <hyperlink r:id="rId19" location="polycard_client=search-nordic&amp;position=21&amp;search_layout=grid&amp;type=item&amp;tracking_id=5248735c-0b0e-416b-8b85-a5cb390032f5&amp;wid=MCO1261720262&amp;sid=search" ref="N28"/>
    <hyperlink r:id="rId20" ref="B29"/>
    <hyperlink r:id="rId21" ref="H29"/>
    <hyperlink r:id="rId22" ref="N29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4.5"/>
    <col customWidth="1" min="3" max="3" width="13.0"/>
    <col customWidth="1" min="4" max="6" width="15.38"/>
    <col customWidth="1" min="7" max="7" width="16.5"/>
  </cols>
  <sheetData>
    <row r="2" hidden="1">
      <c r="B2" s="18" t="s">
        <v>60</v>
      </c>
      <c r="E2" s="19"/>
      <c r="F2" s="19"/>
      <c r="G2" s="19"/>
    </row>
    <row r="3">
      <c r="B3" s="20"/>
      <c r="C3" s="20"/>
      <c r="D3" s="20"/>
      <c r="E3" s="20"/>
      <c r="F3" s="20"/>
      <c r="G3" s="21"/>
    </row>
    <row r="4">
      <c r="B4" s="22" t="s">
        <v>61</v>
      </c>
      <c r="C4" s="2"/>
      <c r="D4" s="2"/>
      <c r="E4" s="2"/>
      <c r="F4" s="3"/>
      <c r="G4" s="23"/>
    </row>
    <row r="5">
      <c r="B5" s="24" t="s">
        <v>62</v>
      </c>
      <c r="C5" s="25"/>
      <c r="D5" s="24" t="s">
        <v>0</v>
      </c>
      <c r="E5" s="24" t="s">
        <v>63</v>
      </c>
      <c r="F5" s="24" t="s">
        <v>64</v>
      </c>
      <c r="G5" s="26"/>
    </row>
    <row r="6">
      <c r="B6" s="27" t="s">
        <v>65</v>
      </c>
      <c r="C6" s="28" t="s">
        <v>66</v>
      </c>
      <c r="D6" s="29">
        <f t="shared" ref="D6:F6" si="1">_xlfn.FLOOR.MATH(5*5*52/3)</f>
        <v>433</v>
      </c>
      <c r="E6" s="29">
        <f t="shared" si="1"/>
        <v>433</v>
      </c>
      <c r="F6" s="29">
        <f t="shared" si="1"/>
        <v>433</v>
      </c>
      <c r="G6" s="23"/>
    </row>
    <row r="7">
      <c r="B7" s="27" t="s">
        <v>67</v>
      </c>
      <c r="C7" s="28" t="s">
        <v>68</v>
      </c>
      <c r="D7" s="30">
        <f>'costos partes de productos'!E16</f>
        <v>1209100</v>
      </c>
      <c r="E7" s="30">
        <f>'costos partes de productos'!K15</f>
        <v>2719000</v>
      </c>
      <c r="F7" s="30">
        <f>'costos partes de productos'!Q15</f>
        <v>2613000</v>
      </c>
      <c r="G7" s="31"/>
    </row>
    <row r="8">
      <c r="B8" s="27" t="s">
        <v>69</v>
      </c>
      <c r="C8" s="28" t="s">
        <v>70</v>
      </c>
      <c r="D8" s="30">
        <f t="shared" ref="D8:F8" si="2">D6*D7</f>
        <v>523540300</v>
      </c>
      <c r="E8" s="30">
        <f t="shared" si="2"/>
        <v>1177327000</v>
      </c>
      <c r="F8" s="30">
        <f t="shared" si="2"/>
        <v>1131429000</v>
      </c>
      <c r="G8" s="31"/>
    </row>
    <row r="9">
      <c r="B9" s="32" t="s">
        <v>71</v>
      </c>
      <c r="C9" s="33"/>
      <c r="D9" s="34">
        <f>SUM(D8:F8)</f>
        <v>2832296300</v>
      </c>
      <c r="E9" s="2"/>
      <c r="F9" s="3"/>
      <c r="G9" s="19"/>
    </row>
    <row r="10">
      <c r="B10" s="35"/>
      <c r="C10" s="35"/>
      <c r="D10" s="35"/>
      <c r="E10" s="35"/>
      <c r="F10" s="35"/>
      <c r="G10" s="36"/>
    </row>
    <row r="11">
      <c r="B11" s="37"/>
      <c r="C11" s="38" t="s">
        <v>72</v>
      </c>
      <c r="D11" s="38" t="s">
        <v>73</v>
      </c>
      <c r="E11" s="35"/>
      <c r="F11" s="35"/>
      <c r="G11" s="36"/>
    </row>
    <row r="12">
      <c r="B12" s="38" t="s">
        <v>74</v>
      </c>
      <c r="C12" s="39">
        <f>Nomina!B80</f>
        <v>89885412.82</v>
      </c>
      <c r="D12" s="39">
        <f>C12*12</f>
        <v>1078624954</v>
      </c>
      <c r="E12" s="35"/>
      <c r="F12" s="35"/>
      <c r="G12" s="36"/>
    </row>
    <row r="13">
      <c r="B13" s="35"/>
      <c r="C13" s="35"/>
      <c r="D13" s="35"/>
      <c r="E13" s="35"/>
      <c r="F13" s="35"/>
      <c r="G13" s="36"/>
    </row>
    <row r="14">
      <c r="B14" s="40" t="s">
        <v>75</v>
      </c>
      <c r="C14" s="41">
        <f>D12+D9</f>
        <v>3910921254</v>
      </c>
      <c r="D14" s="2"/>
      <c r="E14" s="2"/>
      <c r="F14" s="3"/>
      <c r="G14" s="36"/>
    </row>
    <row r="15">
      <c r="B15" s="35"/>
      <c r="C15" s="35"/>
      <c r="D15" s="35"/>
      <c r="E15" s="35"/>
      <c r="F15" s="35"/>
      <c r="G15" s="36"/>
    </row>
    <row r="16">
      <c r="B16" s="42" t="s">
        <v>76</v>
      </c>
      <c r="G16" s="36"/>
    </row>
    <row r="17">
      <c r="B17" s="43"/>
      <c r="C17" s="44"/>
      <c r="D17" s="45"/>
      <c r="E17" s="45"/>
      <c r="F17" s="46"/>
      <c r="G17" s="47"/>
    </row>
    <row r="18" hidden="1">
      <c r="B18" s="48" t="s">
        <v>77</v>
      </c>
      <c r="C18" s="44"/>
      <c r="D18" s="49" t="s">
        <v>78</v>
      </c>
      <c r="E18" s="49" t="s">
        <v>79</v>
      </c>
      <c r="F18" s="49" t="s">
        <v>78</v>
      </c>
      <c r="G18" s="31"/>
    </row>
    <row r="19" hidden="1">
      <c r="B19" s="48" t="s">
        <v>80</v>
      </c>
      <c r="C19" s="44"/>
      <c r="D19" s="49" t="s">
        <v>81</v>
      </c>
      <c r="E19" s="49" t="s">
        <v>82</v>
      </c>
      <c r="F19" s="49" t="s">
        <v>83</v>
      </c>
      <c r="G19" s="31"/>
    </row>
    <row r="20" hidden="1">
      <c r="B20" s="48" t="s">
        <v>84</v>
      </c>
      <c r="C20" s="44"/>
      <c r="D20" s="49" t="s">
        <v>85</v>
      </c>
      <c r="E20" s="49" t="s">
        <v>86</v>
      </c>
      <c r="F20" s="49" t="s">
        <v>87</v>
      </c>
      <c r="G20" s="31"/>
    </row>
    <row r="21" hidden="1">
      <c r="B21" s="48" t="s">
        <v>88</v>
      </c>
      <c r="C21" s="44"/>
      <c r="D21" s="49" t="s">
        <v>89</v>
      </c>
      <c r="E21" s="49" t="s">
        <v>90</v>
      </c>
      <c r="F21" s="49" t="s">
        <v>91</v>
      </c>
      <c r="G21" s="31"/>
    </row>
    <row r="22" hidden="1">
      <c r="B22" s="43"/>
      <c r="C22" s="44"/>
      <c r="D22" s="50"/>
      <c r="E22" s="50"/>
      <c r="F22" s="50"/>
      <c r="G22" s="51"/>
    </row>
    <row r="23" hidden="1">
      <c r="B23" s="52" t="s">
        <v>92</v>
      </c>
      <c r="C23" s="53"/>
      <c r="D23" s="54" t="s">
        <v>93</v>
      </c>
      <c r="E23" s="54" t="s">
        <v>94</v>
      </c>
      <c r="F23" s="54" t="s">
        <v>95</v>
      </c>
      <c r="G23" s="55"/>
    </row>
    <row r="24" hidden="1">
      <c r="B24" s="52" t="s">
        <v>96</v>
      </c>
      <c r="C24" s="56"/>
      <c r="D24" s="57" t="s">
        <v>97</v>
      </c>
      <c r="E24" s="57" t="s">
        <v>98</v>
      </c>
      <c r="F24" s="57" t="s">
        <v>99</v>
      </c>
      <c r="G24" s="58"/>
    </row>
    <row r="25" hidden="1">
      <c r="B25" s="53"/>
      <c r="C25" s="56"/>
      <c r="D25" s="59"/>
      <c r="E25" s="59"/>
      <c r="F25" s="59"/>
      <c r="G25" s="60"/>
    </row>
    <row r="26" hidden="1">
      <c r="B26" s="52" t="s">
        <v>100</v>
      </c>
      <c r="C26" s="61" t="s">
        <v>101</v>
      </c>
      <c r="D26" s="57" t="s">
        <v>102</v>
      </c>
      <c r="E26" s="57" t="s">
        <v>103</v>
      </c>
      <c r="F26" s="57" t="s">
        <v>104</v>
      </c>
      <c r="G26" s="58"/>
    </row>
    <row r="27" hidden="1">
      <c r="B27" s="52" t="s">
        <v>105</v>
      </c>
      <c r="C27" s="61" t="s">
        <v>106</v>
      </c>
      <c r="D27" s="57" t="s">
        <v>107</v>
      </c>
      <c r="E27" s="57" t="s">
        <v>108</v>
      </c>
      <c r="F27" s="57" t="s">
        <v>109</v>
      </c>
      <c r="G27" s="58"/>
    </row>
    <row r="28" hidden="1">
      <c r="B28" s="62" t="s">
        <v>110</v>
      </c>
      <c r="C28" s="63"/>
      <c r="D28" s="64">
        <v>0.42</v>
      </c>
      <c r="E28" s="64">
        <v>0.47</v>
      </c>
      <c r="F28" s="64">
        <v>0.56</v>
      </c>
      <c r="G28" s="64"/>
    </row>
    <row r="29" hidden="1"/>
  </sheetData>
  <mergeCells count="11">
    <mergeCell ref="B16:F16"/>
    <mergeCell ref="D9:F9"/>
    <mergeCell ref="B4:F4"/>
    <mergeCell ref="C14:F14"/>
    <mergeCell ref="B2:D2"/>
    <mergeCell ref="B17:C17"/>
    <mergeCell ref="B18:C18"/>
    <mergeCell ref="B19:C19"/>
    <mergeCell ref="B20:C20"/>
    <mergeCell ref="B21:C21"/>
    <mergeCell ref="B22:C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1" t="s">
        <v>35</v>
      </c>
      <c r="B1" s="11" t="s">
        <v>111</v>
      </c>
      <c r="C1" s="4"/>
      <c r="D1" s="4"/>
      <c r="E1" s="4"/>
      <c r="F1" s="4"/>
      <c r="G1" s="11" t="s">
        <v>36</v>
      </c>
      <c r="H1" s="11">
        <v>16.3</v>
      </c>
      <c r="I1" s="4"/>
      <c r="J1" s="4"/>
      <c r="K1" s="4"/>
      <c r="L1" s="4"/>
      <c r="M1" s="11" t="s">
        <v>37</v>
      </c>
      <c r="N1" s="11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13.75"/>
    <col customWidth="1" min="3" max="3" width="14.25"/>
    <col customWidth="1" min="4" max="4" width="11.13"/>
    <col customWidth="1" min="5" max="10" width="12.25"/>
    <col customWidth="1" min="11" max="26" width="10.63"/>
  </cols>
  <sheetData>
    <row r="1">
      <c r="A1" s="65" t="s">
        <v>113</v>
      </c>
      <c r="J1" s="66"/>
    </row>
    <row r="2">
      <c r="A2" s="67" t="s">
        <v>114</v>
      </c>
      <c r="B2" s="66"/>
      <c r="C2" s="66"/>
      <c r="D2" s="66"/>
      <c r="E2" s="66"/>
      <c r="F2" s="68" t="s">
        <v>115</v>
      </c>
      <c r="G2" s="69">
        <v>45809.0</v>
      </c>
      <c r="H2" s="68" t="s">
        <v>116</v>
      </c>
      <c r="I2" s="70">
        <f>+G2+30</f>
        <v>45839</v>
      </c>
      <c r="J2" s="66"/>
    </row>
    <row r="3">
      <c r="A3" s="71"/>
      <c r="B3" s="66"/>
      <c r="C3" s="66"/>
      <c r="D3" s="66"/>
      <c r="E3" s="66"/>
      <c r="F3" s="71"/>
      <c r="G3" s="66"/>
      <c r="H3" s="66"/>
      <c r="I3" s="66"/>
      <c r="J3" s="66"/>
    </row>
    <row r="4">
      <c r="A4" s="66"/>
      <c r="B4" s="66"/>
      <c r="C4" s="66"/>
      <c r="D4" s="66"/>
      <c r="E4" s="66"/>
      <c r="F4" s="66"/>
      <c r="G4" s="66"/>
      <c r="H4" s="66"/>
      <c r="I4" s="66"/>
      <c r="J4" s="66"/>
    </row>
    <row r="5">
      <c r="A5" s="66"/>
      <c r="B5" s="66"/>
      <c r="C5" s="66"/>
      <c r="D5" s="66"/>
      <c r="E5" s="66"/>
      <c r="F5" s="66"/>
      <c r="G5" s="66"/>
      <c r="H5" s="66"/>
      <c r="I5" s="66"/>
      <c r="J5" s="66"/>
    </row>
    <row r="6">
      <c r="A6" s="66"/>
      <c r="B6" s="66"/>
      <c r="C6" s="66"/>
      <c r="D6" s="66"/>
      <c r="E6" s="66"/>
      <c r="F6" s="66"/>
      <c r="G6" s="66"/>
      <c r="H6" s="66"/>
      <c r="I6" s="66"/>
      <c r="J6" s="66"/>
    </row>
    <row r="7">
      <c r="A7" s="72" t="s">
        <v>117</v>
      </c>
      <c r="B7" s="73" t="s">
        <v>118</v>
      </c>
      <c r="C7" s="2"/>
      <c r="D7" s="2"/>
      <c r="E7" s="2"/>
      <c r="F7" s="3"/>
      <c r="G7" s="73" t="s">
        <v>119</v>
      </c>
      <c r="H7" s="2"/>
      <c r="I7" s="3"/>
      <c r="J7" s="74" t="s">
        <v>120</v>
      </c>
    </row>
    <row r="8">
      <c r="A8" s="75"/>
      <c r="B8" s="76" t="s">
        <v>121</v>
      </c>
      <c r="C8" s="76" t="s">
        <v>122</v>
      </c>
      <c r="D8" s="76" t="s">
        <v>123</v>
      </c>
      <c r="E8" s="76" t="s">
        <v>124</v>
      </c>
      <c r="F8" s="76" t="s">
        <v>125</v>
      </c>
      <c r="G8" s="76" t="s">
        <v>126</v>
      </c>
      <c r="H8" s="73" t="s">
        <v>127</v>
      </c>
      <c r="I8" s="73" t="s">
        <v>125</v>
      </c>
      <c r="J8" s="77" t="s">
        <v>128</v>
      </c>
    </row>
    <row r="9">
      <c r="A9" s="78"/>
      <c r="B9" s="78"/>
      <c r="C9" s="78"/>
      <c r="D9" s="78"/>
      <c r="E9" s="78"/>
      <c r="F9" s="78"/>
      <c r="G9" s="78"/>
      <c r="H9" s="78"/>
      <c r="I9" s="78"/>
      <c r="J9" s="78"/>
    </row>
    <row r="10">
      <c r="A10" s="79" t="s">
        <v>129</v>
      </c>
      <c r="B10" s="80">
        <v>2000000.0</v>
      </c>
      <c r="C10" s="81">
        <v>30.0</v>
      </c>
      <c r="D10" s="82">
        <v>106454.0</v>
      </c>
      <c r="E10" s="82">
        <v>0.0</v>
      </c>
      <c r="F10" s="82">
        <f t="shared" ref="F10:F26" si="1">+B10+D10+E10</f>
        <v>2106454</v>
      </c>
      <c r="G10" s="82">
        <f t="shared" ref="G10:G26" si="2">F10*D$37</f>
        <v>84258.16</v>
      </c>
      <c r="H10" s="82">
        <f t="shared" ref="H10:H26" si="3">F10*D$38</f>
        <v>84258.16</v>
      </c>
      <c r="I10" s="82">
        <f t="shared" ref="I10:I26" si="4">SUM(G10:H10)</f>
        <v>168516.32</v>
      </c>
      <c r="J10" s="82">
        <f t="shared" ref="J10:J26" si="5">+F10-I10</f>
        <v>1937937.68</v>
      </c>
    </row>
    <row r="11">
      <c r="A11" s="79" t="s">
        <v>130</v>
      </c>
      <c r="B11" s="80">
        <v>2000000.0</v>
      </c>
      <c r="C11" s="81">
        <v>30.0</v>
      </c>
      <c r="D11" s="82">
        <v>106454.0</v>
      </c>
      <c r="E11" s="82">
        <v>0.0</v>
      </c>
      <c r="F11" s="82">
        <f t="shared" si="1"/>
        <v>2106454</v>
      </c>
      <c r="G11" s="82">
        <f t="shared" si="2"/>
        <v>84258.16</v>
      </c>
      <c r="H11" s="82">
        <f t="shared" si="3"/>
        <v>84258.16</v>
      </c>
      <c r="I11" s="82">
        <f t="shared" si="4"/>
        <v>168516.32</v>
      </c>
      <c r="J11" s="82">
        <f t="shared" si="5"/>
        <v>1937937.68</v>
      </c>
    </row>
    <row r="12">
      <c r="A12" s="79" t="s">
        <v>131</v>
      </c>
      <c r="B12" s="80">
        <v>2000000.0</v>
      </c>
      <c r="C12" s="81">
        <v>30.0</v>
      </c>
      <c r="D12" s="82">
        <v>106454.0</v>
      </c>
      <c r="E12" s="82">
        <v>0.0</v>
      </c>
      <c r="F12" s="82">
        <f t="shared" si="1"/>
        <v>2106454</v>
      </c>
      <c r="G12" s="82">
        <f t="shared" si="2"/>
        <v>84258.16</v>
      </c>
      <c r="H12" s="82">
        <f t="shared" si="3"/>
        <v>84258.16</v>
      </c>
      <c r="I12" s="82">
        <f t="shared" si="4"/>
        <v>168516.32</v>
      </c>
      <c r="J12" s="82">
        <f t="shared" si="5"/>
        <v>1937937.68</v>
      </c>
    </row>
    <row r="13">
      <c r="A13" s="79" t="s">
        <v>132</v>
      </c>
      <c r="B13" s="80">
        <v>2000000.0</v>
      </c>
      <c r="C13" s="81">
        <v>30.0</v>
      </c>
      <c r="D13" s="82">
        <v>106454.0</v>
      </c>
      <c r="E13" s="82">
        <v>0.0</v>
      </c>
      <c r="F13" s="82">
        <f t="shared" si="1"/>
        <v>2106454</v>
      </c>
      <c r="G13" s="82">
        <f t="shared" si="2"/>
        <v>84258.16</v>
      </c>
      <c r="H13" s="82">
        <f t="shared" si="3"/>
        <v>84258.16</v>
      </c>
      <c r="I13" s="82">
        <f t="shared" si="4"/>
        <v>168516.32</v>
      </c>
      <c r="J13" s="82">
        <f t="shared" si="5"/>
        <v>1937937.68</v>
      </c>
    </row>
    <row r="14">
      <c r="A14" s="79" t="s">
        <v>133</v>
      </c>
      <c r="B14" s="80">
        <v>2000000.0</v>
      </c>
      <c r="C14" s="81">
        <v>30.0</v>
      </c>
      <c r="D14" s="82">
        <v>106454.0</v>
      </c>
      <c r="E14" s="82">
        <v>0.0</v>
      </c>
      <c r="F14" s="82">
        <f t="shared" si="1"/>
        <v>2106454</v>
      </c>
      <c r="G14" s="82">
        <f t="shared" si="2"/>
        <v>84258.16</v>
      </c>
      <c r="H14" s="82">
        <f t="shared" si="3"/>
        <v>84258.16</v>
      </c>
      <c r="I14" s="82">
        <f t="shared" si="4"/>
        <v>168516.32</v>
      </c>
      <c r="J14" s="82">
        <f t="shared" si="5"/>
        <v>1937937.68</v>
      </c>
    </row>
    <row r="15">
      <c r="A15" s="79" t="s">
        <v>134</v>
      </c>
      <c r="B15" s="80">
        <v>2000000.0</v>
      </c>
      <c r="C15" s="81">
        <v>30.0</v>
      </c>
      <c r="D15" s="82">
        <v>106454.0</v>
      </c>
      <c r="E15" s="82">
        <v>0.0</v>
      </c>
      <c r="F15" s="82">
        <f t="shared" si="1"/>
        <v>2106454</v>
      </c>
      <c r="G15" s="82">
        <f t="shared" si="2"/>
        <v>84258.16</v>
      </c>
      <c r="H15" s="82">
        <f t="shared" si="3"/>
        <v>84258.16</v>
      </c>
      <c r="I15" s="82">
        <f t="shared" si="4"/>
        <v>168516.32</v>
      </c>
      <c r="J15" s="82">
        <f t="shared" si="5"/>
        <v>1937937.68</v>
      </c>
    </row>
    <row r="16">
      <c r="A16" s="79" t="s">
        <v>135</v>
      </c>
      <c r="B16" s="80">
        <v>2000000.0</v>
      </c>
      <c r="C16" s="81">
        <v>30.0</v>
      </c>
      <c r="D16" s="82">
        <v>106454.0</v>
      </c>
      <c r="E16" s="82">
        <v>0.0</v>
      </c>
      <c r="F16" s="82">
        <f t="shared" si="1"/>
        <v>2106454</v>
      </c>
      <c r="G16" s="82">
        <f t="shared" si="2"/>
        <v>84258.16</v>
      </c>
      <c r="H16" s="82">
        <f t="shared" si="3"/>
        <v>84258.16</v>
      </c>
      <c r="I16" s="82">
        <f t="shared" si="4"/>
        <v>168516.32</v>
      </c>
      <c r="J16" s="82">
        <f t="shared" si="5"/>
        <v>1937937.68</v>
      </c>
    </row>
    <row r="17">
      <c r="A17" s="79" t="s">
        <v>136</v>
      </c>
      <c r="B17" s="80">
        <v>2000000.0</v>
      </c>
      <c r="C17" s="81">
        <v>30.0</v>
      </c>
      <c r="D17" s="82">
        <v>106454.0</v>
      </c>
      <c r="E17" s="82">
        <v>0.0</v>
      </c>
      <c r="F17" s="82">
        <f t="shared" si="1"/>
        <v>2106454</v>
      </c>
      <c r="G17" s="82">
        <f t="shared" si="2"/>
        <v>84258.16</v>
      </c>
      <c r="H17" s="82">
        <f t="shared" si="3"/>
        <v>84258.16</v>
      </c>
      <c r="I17" s="82">
        <f t="shared" si="4"/>
        <v>168516.32</v>
      </c>
      <c r="J17" s="82">
        <f t="shared" si="5"/>
        <v>1937937.68</v>
      </c>
    </row>
    <row r="18">
      <c r="A18" s="79" t="s">
        <v>137</v>
      </c>
      <c r="B18" s="80">
        <v>2000000.0</v>
      </c>
      <c r="C18" s="81">
        <v>30.0</v>
      </c>
      <c r="D18" s="82">
        <v>106454.0</v>
      </c>
      <c r="E18" s="82">
        <v>0.0</v>
      </c>
      <c r="F18" s="82">
        <f t="shared" si="1"/>
        <v>2106454</v>
      </c>
      <c r="G18" s="82">
        <f t="shared" si="2"/>
        <v>84258.16</v>
      </c>
      <c r="H18" s="82">
        <f t="shared" si="3"/>
        <v>84258.16</v>
      </c>
      <c r="I18" s="82">
        <f t="shared" si="4"/>
        <v>168516.32</v>
      </c>
      <c r="J18" s="82">
        <f t="shared" si="5"/>
        <v>1937937.68</v>
      </c>
    </row>
    <row r="19">
      <c r="A19" s="79" t="s">
        <v>138</v>
      </c>
      <c r="B19" s="80">
        <v>2000000.0</v>
      </c>
      <c r="C19" s="81">
        <v>30.0</v>
      </c>
      <c r="D19" s="82">
        <v>106454.0</v>
      </c>
      <c r="E19" s="82">
        <v>0.0</v>
      </c>
      <c r="F19" s="82">
        <f t="shared" si="1"/>
        <v>2106454</v>
      </c>
      <c r="G19" s="82">
        <f t="shared" si="2"/>
        <v>84258.16</v>
      </c>
      <c r="H19" s="82">
        <f t="shared" si="3"/>
        <v>84258.16</v>
      </c>
      <c r="I19" s="82">
        <f t="shared" si="4"/>
        <v>168516.32</v>
      </c>
      <c r="J19" s="82">
        <f t="shared" si="5"/>
        <v>1937937.68</v>
      </c>
    </row>
    <row r="20">
      <c r="A20" s="79" t="s">
        <v>139</v>
      </c>
      <c r="B20" s="80">
        <v>2000000.0</v>
      </c>
      <c r="C20" s="81">
        <v>30.0</v>
      </c>
      <c r="D20" s="82">
        <v>106454.0</v>
      </c>
      <c r="E20" s="82">
        <v>0.0</v>
      </c>
      <c r="F20" s="82">
        <f t="shared" si="1"/>
        <v>2106454</v>
      </c>
      <c r="G20" s="82">
        <f t="shared" si="2"/>
        <v>84258.16</v>
      </c>
      <c r="H20" s="82">
        <f t="shared" si="3"/>
        <v>84258.16</v>
      </c>
      <c r="I20" s="82">
        <f t="shared" si="4"/>
        <v>168516.32</v>
      </c>
      <c r="J20" s="82">
        <f t="shared" si="5"/>
        <v>1937937.68</v>
      </c>
    </row>
    <row r="21" ht="15.75" customHeight="1">
      <c r="A21" s="79" t="s">
        <v>140</v>
      </c>
      <c r="B21" s="80">
        <v>2000000.0</v>
      </c>
      <c r="C21" s="81">
        <v>30.0</v>
      </c>
      <c r="D21" s="82">
        <v>106454.0</v>
      </c>
      <c r="E21" s="82">
        <v>0.0</v>
      </c>
      <c r="F21" s="82">
        <f t="shared" si="1"/>
        <v>2106454</v>
      </c>
      <c r="G21" s="82">
        <f t="shared" si="2"/>
        <v>84258.16</v>
      </c>
      <c r="H21" s="82">
        <f t="shared" si="3"/>
        <v>84258.16</v>
      </c>
      <c r="I21" s="82">
        <f t="shared" si="4"/>
        <v>168516.32</v>
      </c>
      <c r="J21" s="82">
        <f t="shared" si="5"/>
        <v>1937937.68</v>
      </c>
    </row>
    <row r="22" ht="15.75" customHeight="1">
      <c r="A22" s="79" t="s">
        <v>141</v>
      </c>
      <c r="B22" s="80">
        <v>2000000.0</v>
      </c>
      <c r="C22" s="81">
        <v>30.0</v>
      </c>
      <c r="D22" s="82">
        <v>106454.0</v>
      </c>
      <c r="E22" s="82">
        <v>0.0</v>
      </c>
      <c r="F22" s="82">
        <f t="shared" si="1"/>
        <v>2106454</v>
      </c>
      <c r="G22" s="82">
        <f t="shared" si="2"/>
        <v>84258.16</v>
      </c>
      <c r="H22" s="82">
        <f t="shared" si="3"/>
        <v>84258.16</v>
      </c>
      <c r="I22" s="82">
        <f t="shared" si="4"/>
        <v>168516.32</v>
      </c>
      <c r="J22" s="82">
        <f t="shared" si="5"/>
        <v>1937937.68</v>
      </c>
    </row>
    <row r="23" ht="15.75" customHeight="1">
      <c r="A23" s="79" t="s">
        <v>142</v>
      </c>
      <c r="B23" s="80">
        <v>2000000.0</v>
      </c>
      <c r="C23" s="81">
        <v>30.0</v>
      </c>
      <c r="D23" s="82">
        <v>106454.0</v>
      </c>
      <c r="E23" s="82">
        <v>0.0</v>
      </c>
      <c r="F23" s="82">
        <f t="shared" si="1"/>
        <v>2106454</v>
      </c>
      <c r="G23" s="82">
        <f t="shared" si="2"/>
        <v>84258.16</v>
      </c>
      <c r="H23" s="82">
        <f t="shared" si="3"/>
        <v>84258.16</v>
      </c>
      <c r="I23" s="82">
        <f t="shared" si="4"/>
        <v>168516.32</v>
      </c>
      <c r="J23" s="82">
        <f t="shared" si="5"/>
        <v>1937937.68</v>
      </c>
    </row>
    <row r="24" ht="15.75" customHeight="1">
      <c r="A24" s="79" t="s">
        <v>143</v>
      </c>
      <c r="B24" s="80">
        <v>2000000.0</v>
      </c>
      <c r="C24" s="81">
        <v>30.0</v>
      </c>
      <c r="D24" s="82">
        <v>106454.0</v>
      </c>
      <c r="E24" s="82">
        <v>0.0</v>
      </c>
      <c r="F24" s="82">
        <f t="shared" si="1"/>
        <v>2106454</v>
      </c>
      <c r="G24" s="82">
        <f t="shared" si="2"/>
        <v>84258.16</v>
      </c>
      <c r="H24" s="82">
        <f t="shared" si="3"/>
        <v>84258.16</v>
      </c>
      <c r="I24" s="82">
        <f t="shared" si="4"/>
        <v>168516.32</v>
      </c>
      <c r="J24" s="82">
        <f t="shared" si="5"/>
        <v>1937937.68</v>
      </c>
    </row>
    <row r="25" ht="15.75" customHeight="1">
      <c r="A25" s="79" t="s">
        <v>141</v>
      </c>
      <c r="B25" s="80">
        <v>2000000.0</v>
      </c>
      <c r="C25" s="81">
        <v>30.0</v>
      </c>
      <c r="D25" s="82">
        <v>106454.0</v>
      </c>
      <c r="E25" s="82">
        <v>0.0</v>
      </c>
      <c r="F25" s="82">
        <f t="shared" si="1"/>
        <v>2106454</v>
      </c>
      <c r="G25" s="82">
        <f t="shared" si="2"/>
        <v>84258.16</v>
      </c>
      <c r="H25" s="82">
        <f t="shared" si="3"/>
        <v>84258.16</v>
      </c>
      <c r="I25" s="82">
        <f t="shared" si="4"/>
        <v>168516.32</v>
      </c>
      <c r="J25" s="82">
        <f t="shared" si="5"/>
        <v>1937937.68</v>
      </c>
    </row>
    <row r="26" ht="15.75" customHeight="1">
      <c r="A26" s="83" t="s">
        <v>144</v>
      </c>
      <c r="B26" s="80">
        <v>2000000.0</v>
      </c>
      <c r="C26" s="81">
        <v>30.0</v>
      </c>
      <c r="D26" s="82">
        <v>0.0</v>
      </c>
      <c r="E26" s="82">
        <v>0.0</v>
      </c>
      <c r="F26" s="82">
        <f t="shared" si="1"/>
        <v>2000000</v>
      </c>
      <c r="G26" s="82">
        <f t="shared" si="2"/>
        <v>80000</v>
      </c>
      <c r="H26" s="82">
        <f t="shared" si="3"/>
        <v>80000</v>
      </c>
      <c r="I26" s="82">
        <f t="shared" si="4"/>
        <v>160000</v>
      </c>
      <c r="J26" s="82">
        <f t="shared" si="5"/>
        <v>1840000</v>
      </c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</row>
    <row r="28" ht="15.75" customHeight="1">
      <c r="A28" s="83" t="s">
        <v>145</v>
      </c>
      <c r="B28" s="82">
        <f>SUM(B10:B27)</f>
        <v>34000000</v>
      </c>
      <c r="C28" s="82"/>
      <c r="D28" s="82">
        <f t="shared" ref="D28:G28" si="6">SUM(D10:D27)</f>
        <v>1703264</v>
      </c>
      <c r="E28" s="82">
        <f t="shared" si="6"/>
        <v>0</v>
      </c>
      <c r="F28" s="82">
        <f t="shared" si="6"/>
        <v>35703264</v>
      </c>
      <c r="G28" s="82">
        <f t="shared" si="6"/>
        <v>1428130.56</v>
      </c>
      <c r="H28" s="82"/>
      <c r="I28" s="82">
        <f t="shared" ref="I28:J28" si="7">SUM(I10:I27)</f>
        <v>2856261.12</v>
      </c>
      <c r="J28" s="82">
        <f t="shared" si="7"/>
        <v>32847002.88</v>
      </c>
    </row>
    <row r="29" ht="15.75" customHeight="1">
      <c r="A29" s="84"/>
      <c r="B29" s="85"/>
      <c r="C29" s="85"/>
      <c r="D29" s="66"/>
      <c r="E29" s="66"/>
      <c r="F29" s="85"/>
      <c r="G29" s="85"/>
      <c r="H29" s="85"/>
      <c r="I29" s="85"/>
      <c r="J29" s="66"/>
    </row>
    <row r="30" ht="15.75" customHeight="1">
      <c r="A30" s="86" t="s">
        <v>146</v>
      </c>
      <c r="B30" s="87"/>
      <c r="C30" s="87"/>
      <c r="D30" s="87"/>
      <c r="E30" s="87"/>
      <c r="F30" s="88"/>
      <c r="G30" s="66"/>
      <c r="H30" s="66"/>
      <c r="I30" s="78"/>
      <c r="J30" s="66"/>
    </row>
    <row r="31" ht="15.75" customHeight="1">
      <c r="A31" s="89" t="s">
        <v>62</v>
      </c>
      <c r="B31" s="73" t="s">
        <v>147</v>
      </c>
      <c r="C31" s="3"/>
      <c r="D31" s="73" t="s">
        <v>148</v>
      </c>
      <c r="E31" s="3"/>
      <c r="F31" s="90" t="s">
        <v>125</v>
      </c>
      <c r="G31" s="66"/>
      <c r="H31" s="66"/>
      <c r="I31" s="66"/>
      <c r="J31" s="66"/>
    </row>
    <row r="32" ht="15.75" customHeight="1">
      <c r="A32" s="91"/>
      <c r="B32" s="92" t="s">
        <v>149</v>
      </c>
      <c r="C32" s="92" t="s">
        <v>150</v>
      </c>
      <c r="D32" s="92" t="s">
        <v>149</v>
      </c>
      <c r="E32" s="92" t="s">
        <v>150</v>
      </c>
      <c r="F32" s="93"/>
      <c r="G32" s="66"/>
      <c r="H32" s="66"/>
      <c r="I32" s="78"/>
      <c r="J32" s="66"/>
    </row>
    <row r="33" ht="15.75" customHeight="1">
      <c r="A33" s="94" t="s">
        <v>151</v>
      </c>
      <c r="B33" s="95">
        <v>0.0833</v>
      </c>
      <c r="C33" s="96">
        <f t="shared" ref="C33:C39" si="8">F$28*B33</f>
        <v>2974081.891</v>
      </c>
      <c r="D33" s="95">
        <v>0.0</v>
      </c>
      <c r="E33" s="96">
        <f t="shared" ref="E33:E39" si="9">F$28*D33</f>
        <v>0</v>
      </c>
      <c r="F33" s="97">
        <f t="shared" ref="F33:F39" si="10">C33+E33</f>
        <v>2974081.891</v>
      </c>
      <c r="G33" s="66"/>
      <c r="H33" s="66"/>
      <c r="I33" s="66"/>
      <c r="J33" s="66"/>
    </row>
    <row r="34" ht="15.75" customHeight="1">
      <c r="A34" s="98" t="s">
        <v>152</v>
      </c>
      <c r="B34" s="99">
        <v>0.01</v>
      </c>
      <c r="C34" s="100">
        <f t="shared" si="8"/>
        <v>357032.64</v>
      </c>
      <c r="D34" s="99">
        <v>0.0</v>
      </c>
      <c r="E34" s="100">
        <f t="shared" si="9"/>
        <v>0</v>
      </c>
      <c r="F34" s="101">
        <f t="shared" si="10"/>
        <v>357032.64</v>
      </c>
      <c r="G34" s="66"/>
      <c r="H34" s="66"/>
      <c r="I34" s="66"/>
      <c r="J34" s="66"/>
    </row>
    <row r="35" ht="15.75" customHeight="1">
      <c r="A35" s="98" t="s">
        <v>153</v>
      </c>
      <c r="B35" s="99">
        <v>0.0833</v>
      </c>
      <c r="C35" s="100">
        <f t="shared" si="8"/>
        <v>2974081.891</v>
      </c>
      <c r="D35" s="99">
        <v>0.0</v>
      </c>
      <c r="E35" s="100">
        <f t="shared" si="9"/>
        <v>0</v>
      </c>
      <c r="F35" s="101">
        <f t="shared" si="10"/>
        <v>2974081.891</v>
      </c>
      <c r="G35" s="66"/>
      <c r="H35" s="66"/>
      <c r="I35" s="66"/>
      <c r="J35" s="66"/>
    </row>
    <row r="36" ht="15.75" customHeight="1">
      <c r="A36" s="98" t="s">
        <v>154</v>
      </c>
      <c r="B36" s="99">
        <v>0.0417</v>
      </c>
      <c r="C36" s="100">
        <f t="shared" si="8"/>
        <v>1488826.109</v>
      </c>
      <c r="D36" s="99">
        <v>0.0</v>
      </c>
      <c r="E36" s="100">
        <f t="shared" si="9"/>
        <v>0</v>
      </c>
      <c r="F36" s="101">
        <f t="shared" si="10"/>
        <v>1488826.109</v>
      </c>
      <c r="G36" s="66"/>
      <c r="H36" s="66"/>
      <c r="I36" s="66"/>
      <c r="J36" s="66"/>
    </row>
    <row r="37" ht="15.75" customHeight="1">
      <c r="A37" s="98" t="s">
        <v>126</v>
      </c>
      <c r="B37" s="99">
        <v>0.085</v>
      </c>
      <c r="C37" s="100">
        <f t="shared" si="8"/>
        <v>3034777.44</v>
      </c>
      <c r="D37" s="99">
        <v>0.04</v>
      </c>
      <c r="E37" s="100">
        <f t="shared" si="9"/>
        <v>1428130.56</v>
      </c>
      <c r="F37" s="101">
        <f t="shared" si="10"/>
        <v>4462908</v>
      </c>
      <c r="G37" s="66"/>
      <c r="H37" s="66"/>
      <c r="I37" s="66"/>
      <c r="J37" s="66"/>
    </row>
    <row r="38" ht="15.75" customHeight="1">
      <c r="A38" s="98" t="s">
        <v>127</v>
      </c>
      <c r="B38" s="99">
        <v>0.12</v>
      </c>
      <c r="C38" s="100">
        <f t="shared" si="8"/>
        <v>4284391.68</v>
      </c>
      <c r="D38" s="99">
        <v>0.04</v>
      </c>
      <c r="E38" s="100">
        <f t="shared" si="9"/>
        <v>1428130.56</v>
      </c>
      <c r="F38" s="101">
        <f t="shared" si="10"/>
        <v>5712522.24</v>
      </c>
      <c r="G38" s="66"/>
      <c r="H38" s="66"/>
      <c r="I38" s="66"/>
      <c r="J38" s="66"/>
    </row>
    <row r="39" ht="15.75" customHeight="1">
      <c r="A39" s="98" t="s">
        <v>155</v>
      </c>
      <c r="B39" s="99">
        <v>0.09</v>
      </c>
      <c r="C39" s="100">
        <f t="shared" si="8"/>
        <v>3213293.76</v>
      </c>
      <c r="D39" s="99">
        <v>0.0</v>
      </c>
      <c r="E39" s="100">
        <f t="shared" si="9"/>
        <v>0</v>
      </c>
      <c r="F39" s="101">
        <f t="shared" si="10"/>
        <v>3213293.76</v>
      </c>
      <c r="G39" s="66"/>
      <c r="H39" s="66"/>
      <c r="I39" s="66"/>
      <c r="J39" s="66"/>
    </row>
    <row r="40" ht="15.75" customHeight="1">
      <c r="A40" s="102" t="s">
        <v>125</v>
      </c>
      <c r="B40" s="103"/>
      <c r="C40" s="104">
        <f>SUM(C33:C39)</f>
        <v>18326485.41</v>
      </c>
      <c r="D40" s="105"/>
      <c r="E40" s="104">
        <f t="shared" ref="E40:F40" si="11">SUM(E33:E39)</f>
        <v>2856261.12</v>
      </c>
      <c r="F40" s="106">
        <f t="shared" si="11"/>
        <v>21182746.53</v>
      </c>
      <c r="G40" s="66"/>
      <c r="H40" s="66"/>
      <c r="I40" s="66"/>
      <c r="J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</row>
    <row r="42" ht="15.75" customHeight="1">
      <c r="A42" s="107" t="s">
        <v>156</v>
      </c>
      <c r="B42" s="108"/>
      <c r="D42" s="66"/>
      <c r="E42" s="66"/>
      <c r="F42" s="109">
        <f>+J28+C40</f>
        <v>51173488.29</v>
      </c>
      <c r="G42" s="66"/>
      <c r="H42" s="66"/>
      <c r="I42" s="66"/>
      <c r="J42" s="66"/>
    </row>
    <row r="43" ht="15.75" customHeight="1"/>
    <row r="44" ht="15.75" customHeight="1"/>
    <row r="45" ht="15.75" customHeight="1"/>
    <row r="46" ht="15.75" customHeight="1">
      <c r="A46" s="110" t="s">
        <v>157</v>
      </c>
    </row>
    <row r="47" ht="15.75" customHeight="1"/>
    <row r="48" ht="15.75" customHeight="1"/>
    <row r="49" ht="15.75" customHeight="1">
      <c r="A49" s="72" t="s">
        <v>117</v>
      </c>
      <c r="B49" s="73" t="s">
        <v>118</v>
      </c>
      <c r="C49" s="2"/>
      <c r="D49" s="2"/>
      <c r="E49" s="2"/>
      <c r="F49" s="3"/>
      <c r="G49" s="73" t="s">
        <v>119</v>
      </c>
      <c r="H49" s="2"/>
      <c r="I49" s="3"/>
      <c r="J49" s="74" t="s">
        <v>120</v>
      </c>
    </row>
    <row r="50" ht="15.75" customHeight="1">
      <c r="A50" s="75"/>
      <c r="B50" s="76" t="s">
        <v>121</v>
      </c>
      <c r="C50" s="76" t="s">
        <v>122</v>
      </c>
      <c r="D50" s="76" t="s">
        <v>123</v>
      </c>
      <c r="E50" s="76" t="s">
        <v>124</v>
      </c>
      <c r="F50" s="76" t="s">
        <v>125</v>
      </c>
      <c r="G50" s="76" t="s">
        <v>126</v>
      </c>
      <c r="H50" s="73" t="s">
        <v>127</v>
      </c>
      <c r="I50" s="73" t="s">
        <v>125</v>
      </c>
      <c r="J50" s="77" t="s">
        <v>128</v>
      </c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</row>
    <row r="52" ht="15.75" customHeight="1">
      <c r="A52" s="83" t="s">
        <v>158</v>
      </c>
      <c r="B52" s="80">
        <v>2000000.0</v>
      </c>
      <c r="C52" s="81">
        <v>30.0</v>
      </c>
      <c r="D52" s="82">
        <v>106454.0</v>
      </c>
      <c r="E52" s="82">
        <v>0.0</v>
      </c>
      <c r="F52" s="82">
        <f t="shared" ref="F52:F61" si="12">+B52+D52+E52</f>
        <v>2106454</v>
      </c>
      <c r="G52" s="82">
        <f t="shared" ref="G52:G61" si="13">F52*D$37</f>
        <v>84258.16</v>
      </c>
      <c r="H52" s="82">
        <f t="shared" ref="H52:H61" si="14">F52*D$38</f>
        <v>84258.16</v>
      </c>
      <c r="I52" s="82">
        <f t="shared" ref="I52:I61" si="15">SUM(G52:H52)</f>
        <v>168516.32</v>
      </c>
      <c r="J52" s="82">
        <f t="shared" ref="J52:J61" si="16">+F52-I52</f>
        <v>1937937.68</v>
      </c>
    </row>
    <row r="53" ht="15.75" customHeight="1">
      <c r="A53" s="83" t="s">
        <v>159</v>
      </c>
      <c r="B53" s="82">
        <f t="shared" ref="B53:B60" si="17">B52</f>
        <v>2000000</v>
      </c>
      <c r="C53" s="81">
        <v>30.0</v>
      </c>
      <c r="D53" s="82">
        <v>106454.0</v>
      </c>
      <c r="E53" s="82">
        <v>0.0</v>
      </c>
      <c r="F53" s="82">
        <f t="shared" si="12"/>
        <v>2106454</v>
      </c>
      <c r="G53" s="82">
        <f t="shared" si="13"/>
        <v>84258.16</v>
      </c>
      <c r="H53" s="82">
        <f t="shared" si="14"/>
        <v>84258.16</v>
      </c>
      <c r="I53" s="82">
        <f t="shared" si="15"/>
        <v>168516.32</v>
      </c>
      <c r="J53" s="82">
        <f t="shared" si="16"/>
        <v>1937937.68</v>
      </c>
    </row>
    <row r="54" ht="15.75" customHeight="1">
      <c r="A54" s="83" t="s">
        <v>160</v>
      </c>
      <c r="B54" s="82">
        <f t="shared" si="17"/>
        <v>2000000</v>
      </c>
      <c r="C54" s="81">
        <v>30.0</v>
      </c>
      <c r="D54" s="82">
        <v>106454.0</v>
      </c>
      <c r="E54" s="82">
        <v>0.0</v>
      </c>
      <c r="F54" s="82">
        <f t="shared" si="12"/>
        <v>2106454</v>
      </c>
      <c r="G54" s="82">
        <f t="shared" si="13"/>
        <v>84258.16</v>
      </c>
      <c r="H54" s="82">
        <f t="shared" si="14"/>
        <v>84258.16</v>
      </c>
      <c r="I54" s="82">
        <f t="shared" si="15"/>
        <v>168516.32</v>
      </c>
      <c r="J54" s="82">
        <f t="shared" si="16"/>
        <v>1937937.68</v>
      </c>
    </row>
    <row r="55" ht="15.75" customHeight="1">
      <c r="A55" s="83" t="s">
        <v>161</v>
      </c>
      <c r="B55" s="82">
        <f t="shared" si="17"/>
        <v>2000000</v>
      </c>
      <c r="C55" s="81">
        <v>30.0</v>
      </c>
      <c r="D55" s="82">
        <v>106454.0</v>
      </c>
      <c r="E55" s="82">
        <v>0.0</v>
      </c>
      <c r="F55" s="82">
        <f t="shared" si="12"/>
        <v>2106454</v>
      </c>
      <c r="G55" s="82">
        <f t="shared" si="13"/>
        <v>84258.16</v>
      </c>
      <c r="H55" s="82">
        <f t="shared" si="14"/>
        <v>84258.16</v>
      </c>
      <c r="I55" s="82">
        <f t="shared" si="15"/>
        <v>168516.32</v>
      </c>
      <c r="J55" s="82">
        <f t="shared" si="16"/>
        <v>1937937.68</v>
      </c>
    </row>
    <row r="56" ht="15.75" customHeight="1">
      <c r="A56" s="83" t="s">
        <v>162</v>
      </c>
      <c r="B56" s="82">
        <f t="shared" si="17"/>
        <v>2000000</v>
      </c>
      <c r="C56" s="81">
        <v>30.0</v>
      </c>
      <c r="D56" s="82">
        <v>106454.0</v>
      </c>
      <c r="E56" s="82">
        <v>0.0</v>
      </c>
      <c r="F56" s="82">
        <f t="shared" si="12"/>
        <v>2106454</v>
      </c>
      <c r="G56" s="82">
        <f t="shared" si="13"/>
        <v>84258.16</v>
      </c>
      <c r="H56" s="82">
        <f t="shared" si="14"/>
        <v>84258.16</v>
      </c>
      <c r="I56" s="82">
        <f t="shared" si="15"/>
        <v>168516.32</v>
      </c>
      <c r="J56" s="82">
        <f t="shared" si="16"/>
        <v>1937937.68</v>
      </c>
    </row>
    <row r="57" ht="15.75" customHeight="1">
      <c r="A57" s="83" t="s">
        <v>163</v>
      </c>
      <c r="B57" s="82">
        <f t="shared" si="17"/>
        <v>2000000</v>
      </c>
      <c r="C57" s="81">
        <v>30.0</v>
      </c>
      <c r="D57" s="82">
        <v>106454.0</v>
      </c>
      <c r="E57" s="82">
        <v>0.0</v>
      </c>
      <c r="F57" s="82">
        <f t="shared" si="12"/>
        <v>2106454</v>
      </c>
      <c r="G57" s="82">
        <f t="shared" si="13"/>
        <v>84258.16</v>
      </c>
      <c r="H57" s="82">
        <f t="shared" si="14"/>
        <v>84258.16</v>
      </c>
      <c r="I57" s="82">
        <f t="shared" si="15"/>
        <v>168516.32</v>
      </c>
      <c r="J57" s="82">
        <f t="shared" si="16"/>
        <v>1937937.68</v>
      </c>
    </row>
    <row r="58" ht="15.75" customHeight="1">
      <c r="A58" s="83" t="s">
        <v>164</v>
      </c>
      <c r="B58" s="82">
        <f t="shared" si="17"/>
        <v>2000000</v>
      </c>
      <c r="C58" s="81">
        <v>30.0</v>
      </c>
      <c r="D58" s="82">
        <v>106454.0</v>
      </c>
      <c r="E58" s="82">
        <v>0.0</v>
      </c>
      <c r="F58" s="82">
        <f t="shared" si="12"/>
        <v>2106454</v>
      </c>
      <c r="G58" s="82">
        <f t="shared" si="13"/>
        <v>84258.16</v>
      </c>
      <c r="H58" s="82">
        <f t="shared" si="14"/>
        <v>84258.16</v>
      </c>
      <c r="I58" s="82">
        <f t="shared" si="15"/>
        <v>168516.32</v>
      </c>
      <c r="J58" s="82">
        <f t="shared" si="16"/>
        <v>1937937.68</v>
      </c>
    </row>
    <row r="59" ht="15.75" customHeight="1">
      <c r="A59" s="83" t="s">
        <v>165</v>
      </c>
      <c r="B59" s="82">
        <f t="shared" si="17"/>
        <v>2000000</v>
      </c>
      <c r="C59" s="81">
        <v>30.0</v>
      </c>
      <c r="D59" s="82">
        <v>106454.0</v>
      </c>
      <c r="E59" s="82">
        <v>0.0</v>
      </c>
      <c r="F59" s="82">
        <f t="shared" si="12"/>
        <v>2106454</v>
      </c>
      <c r="G59" s="82">
        <f t="shared" si="13"/>
        <v>84258.16</v>
      </c>
      <c r="H59" s="82">
        <f t="shared" si="14"/>
        <v>84258.16</v>
      </c>
      <c r="I59" s="82">
        <f t="shared" si="15"/>
        <v>168516.32</v>
      </c>
      <c r="J59" s="82">
        <f t="shared" si="16"/>
        <v>1937937.68</v>
      </c>
    </row>
    <row r="60" ht="15.75" customHeight="1">
      <c r="A60" s="83" t="s">
        <v>166</v>
      </c>
      <c r="B60" s="82">
        <f t="shared" si="17"/>
        <v>2000000</v>
      </c>
      <c r="C60" s="81">
        <v>30.0</v>
      </c>
      <c r="D60" s="82">
        <v>106454.0</v>
      </c>
      <c r="E60" s="82">
        <v>0.0</v>
      </c>
      <c r="F60" s="82">
        <f t="shared" si="12"/>
        <v>2106454</v>
      </c>
      <c r="G60" s="82">
        <f t="shared" si="13"/>
        <v>84258.16</v>
      </c>
      <c r="H60" s="82">
        <f t="shared" si="14"/>
        <v>84258.16</v>
      </c>
      <c r="I60" s="82">
        <f t="shared" si="15"/>
        <v>168516.32</v>
      </c>
      <c r="J60" s="82">
        <f t="shared" si="16"/>
        <v>1937937.68</v>
      </c>
    </row>
    <row r="61" ht="15.75" customHeight="1">
      <c r="A61" s="83" t="s">
        <v>144</v>
      </c>
      <c r="B61" s="82">
        <v>3200000.0</v>
      </c>
      <c r="C61" s="81">
        <v>30.0</v>
      </c>
      <c r="D61" s="82">
        <v>0.0</v>
      </c>
      <c r="E61" s="82">
        <v>0.0</v>
      </c>
      <c r="F61" s="82">
        <f t="shared" si="12"/>
        <v>3200000</v>
      </c>
      <c r="G61" s="82">
        <f t="shared" si="13"/>
        <v>128000</v>
      </c>
      <c r="H61" s="82">
        <f t="shared" si="14"/>
        <v>128000</v>
      </c>
      <c r="I61" s="82">
        <f t="shared" si="15"/>
        <v>256000</v>
      </c>
      <c r="J61" s="82">
        <f t="shared" si="16"/>
        <v>2944000</v>
      </c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</row>
    <row r="63" ht="15.75" customHeight="1">
      <c r="A63" s="83" t="s">
        <v>145</v>
      </c>
      <c r="B63" s="82">
        <f>SUM(B52:B62)</f>
        <v>21200000</v>
      </c>
      <c r="C63" s="82"/>
      <c r="D63" s="82">
        <f t="shared" ref="D63:G63" si="18">SUM(D52:D62)</f>
        <v>958086</v>
      </c>
      <c r="E63" s="82">
        <f t="shared" si="18"/>
        <v>0</v>
      </c>
      <c r="F63" s="82">
        <f t="shared" si="18"/>
        <v>22158086</v>
      </c>
      <c r="G63" s="82">
        <f t="shared" si="18"/>
        <v>886323.44</v>
      </c>
      <c r="H63" s="82"/>
      <c r="I63" s="82">
        <f t="shared" ref="I63:J63" si="19">SUM(I52:I62)</f>
        <v>1772646.88</v>
      </c>
      <c r="J63" s="82">
        <f t="shared" si="19"/>
        <v>20385439.12</v>
      </c>
    </row>
    <row r="64" ht="15.75" customHeight="1">
      <c r="A64" s="84"/>
      <c r="B64" s="85"/>
      <c r="C64" s="85"/>
      <c r="D64" s="66"/>
      <c r="E64" s="66"/>
      <c r="F64" s="85"/>
      <c r="G64" s="85"/>
      <c r="H64" s="85"/>
      <c r="I64" s="85"/>
      <c r="J64" s="66"/>
    </row>
    <row r="65" ht="15.75" customHeight="1">
      <c r="A65" s="86" t="s">
        <v>146</v>
      </c>
      <c r="B65" s="87"/>
      <c r="C65" s="87"/>
      <c r="D65" s="87"/>
      <c r="E65" s="87"/>
      <c r="F65" s="88"/>
      <c r="G65" s="66"/>
      <c r="H65" s="66"/>
      <c r="I65" s="78"/>
      <c r="J65" s="66"/>
    </row>
    <row r="66" ht="15.75" customHeight="1">
      <c r="A66" s="89" t="s">
        <v>62</v>
      </c>
      <c r="B66" s="73" t="s">
        <v>147</v>
      </c>
      <c r="C66" s="3"/>
      <c r="D66" s="73" t="s">
        <v>148</v>
      </c>
      <c r="E66" s="3"/>
      <c r="F66" s="90" t="s">
        <v>125</v>
      </c>
      <c r="G66" s="66"/>
      <c r="H66" s="66"/>
      <c r="I66" s="66"/>
      <c r="J66" s="66"/>
    </row>
    <row r="67" ht="15.75" customHeight="1">
      <c r="A67" s="91"/>
      <c r="B67" s="92" t="s">
        <v>149</v>
      </c>
      <c r="C67" s="92" t="s">
        <v>150</v>
      </c>
      <c r="D67" s="92" t="s">
        <v>149</v>
      </c>
      <c r="E67" s="92" t="s">
        <v>150</v>
      </c>
      <c r="F67" s="93"/>
      <c r="G67" s="66"/>
      <c r="H67" s="66"/>
      <c r="I67" s="78"/>
      <c r="J67" s="66"/>
    </row>
    <row r="68" ht="15.75" customHeight="1">
      <c r="A68" s="94" t="s">
        <v>151</v>
      </c>
      <c r="B68" s="95">
        <v>0.0833</v>
      </c>
      <c r="C68" s="96">
        <f t="shared" ref="C68:C74" si="20">F$28*B68</f>
        <v>2974081.891</v>
      </c>
      <c r="D68" s="95">
        <v>0.0</v>
      </c>
      <c r="E68" s="96">
        <f t="shared" ref="E68:E74" si="21">F$28*D68</f>
        <v>0</v>
      </c>
      <c r="F68" s="97">
        <f t="shared" ref="F68:F74" si="22">C68+E68</f>
        <v>2974081.891</v>
      </c>
      <c r="G68" s="66"/>
      <c r="H68" s="66"/>
      <c r="I68" s="66"/>
      <c r="J68" s="66"/>
    </row>
    <row r="69" ht="15.75" customHeight="1">
      <c r="A69" s="98" t="s">
        <v>152</v>
      </c>
      <c r="B69" s="99">
        <v>0.01</v>
      </c>
      <c r="C69" s="100">
        <f t="shared" si="20"/>
        <v>357032.64</v>
      </c>
      <c r="D69" s="99">
        <v>0.0</v>
      </c>
      <c r="E69" s="100">
        <f t="shared" si="21"/>
        <v>0</v>
      </c>
      <c r="F69" s="101">
        <f t="shared" si="22"/>
        <v>357032.64</v>
      </c>
      <c r="G69" s="66"/>
      <c r="H69" s="66"/>
      <c r="I69" s="66"/>
      <c r="J69" s="66"/>
    </row>
    <row r="70" ht="15.75" customHeight="1">
      <c r="A70" s="98" t="s">
        <v>153</v>
      </c>
      <c r="B70" s="99">
        <v>0.0833</v>
      </c>
      <c r="C70" s="100">
        <f t="shared" si="20"/>
        <v>2974081.891</v>
      </c>
      <c r="D70" s="99">
        <v>0.0</v>
      </c>
      <c r="E70" s="100">
        <f t="shared" si="21"/>
        <v>0</v>
      </c>
      <c r="F70" s="101">
        <f t="shared" si="22"/>
        <v>2974081.891</v>
      </c>
      <c r="G70" s="66"/>
      <c r="H70" s="66"/>
      <c r="I70" s="66"/>
      <c r="J70" s="66"/>
    </row>
    <row r="71" ht="15.75" customHeight="1">
      <c r="A71" s="98" t="s">
        <v>154</v>
      </c>
      <c r="B71" s="99">
        <v>0.0417</v>
      </c>
      <c r="C71" s="100">
        <f t="shared" si="20"/>
        <v>1488826.109</v>
      </c>
      <c r="D71" s="99">
        <v>0.0</v>
      </c>
      <c r="E71" s="100">
        <f t="shared" si="21"/>
        <v>0</v>
      </c>
      <c r="F71" s="101">
        <f t="shared" si="22"/>
        <v>1488826.109</v>
      </c>
      <c r="G71" s="66"/>
      <c r="H71" s="66"/>
      <c r="I71" s="66"/>
      <c r="J71" s="66"/>
    </row>
    <row r="72" ht="15.75" customHeight="1">
      <c r="A72" s="98" t="s">
        <v>126</v>
      </c>
      <c r="B72" s="99">
        <v>0.085</v>
      </c>
      <c r="C72" s="100">
        <f t="shared" si="20"/>
        <v>3034777.44</v>
      </c>
      <c r="D72" s="99">
        <v>0.04</v>
      </c>
      <c r="E72" s="100">
        <f t="shared" si="21"/>
        <v>1428130.56</v>
      </c>
      <c r="F72" s="101">
        <f t="shared" si="22"/>
        <v>4462908</v>
      </c>
      <c r="G72" s="66"/>
      <c r="H72" s="66"/>
      <c r="I72" s="66"/>
      <c r="J72" s="66"/>
    </row>
    <row r="73" ht="15.75" customHeight="1">
      <c r="A73" s="98" t="s">
        <v>127</v>
      </c>
      <c r="B73" s="99">
        <v>0.12</v>
      </c>
      <c r="C73" s="100">
        <f t="shared" si="20"/>
        <v>4284391.68</v>
      </c>
      <c r="D73" s="99">
        <v>0.04</v>
      </c>
      <c r="E73" s="100">
        <f t="shared" si="21"/>
        <v>1428130.56</v>
      </c>
      <c r="F73" s="101">
        <f t="shared" si="22"/>
        <v>5712522.24</v>
      </c>
      <c r="G73" s="66"/>
      <c r="H73" s="66"/>
      <c r="I73" s="66"/>
      <c r="J73" s="66"/>
    </row>
    <row r="74" ht="15.75" customHeight="1">
      <c r="A74" s="98" t="s">
        <v>155</v>
      </c>
      <c r="B74" s="99">
        <v>0.09</v>
      </c>
      <c r="C74" s="100">
        <f t="shared" si="20"/>
        <v>3213293.76</v>
      </c>
      <c r="D74" s="99">
        <v>0.0</v>
      </c>
      <c r="E74" s="100">
        <f t="shared" si="21"/>
        <v>0</v>
      </c>
      <c r="F74" s="101">
        <f t="shared" si="22"/>
        <v>3213293.76</v>
      </c>
      <c r="G74" s="66"/>
      <c r="H74" s="66"/>
      <c r="I74" s="66"/>
      <c r="J74" s="66"/>
    </row>
    <row r="75" ht="15.75" customHeight="1">
      <c r="A75" s="102" t="s">
        <v>125</v>
      </c>
      <c r="B75" s="103"/>
      <c r="C75" s="104">
        <f>SUM(C68:C74)</f>
        <v>18326485.41</v>
      </c>
      <c r="D75" s="105"/>
      <c r="E75" s="104">
        <f t="shared" ref="E75:F75" si="23">SUM(E68:E74)</f>
        <v>2856261.12</v>
      </c>
      <c r="F75" s="106">
        <f t="shared" si="23"/>
        <v>21182746.53</v>
      </c>
      <c r="G75" s="66"/>
      <c r="H75" s="66"/>
      <c r="I75" s="66"/>
      <c r="J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</row>
    <row r="77" ht="15.75" customHeight="1">
      <c r="A77" s="107" t="s">
        <v>156</v>
      </c>
      <c r="B77" s="108"/>
      <c r="C77" s="111"/>
      <c r="D77" s="66"/>
      <c r="E77" s="66"/>
      <c r="F77" s="109">
        <f>+J63+C75</f>
        <v>38711924.53</v>
      </c>
      <c r="G77" s="66"/>
      <c r="H77" s="66"/>
      <c r="I77" s="66"/>
      <c r="J77" s="66"/>
    </row>
    <row r="78" ht="15.75" customHeight="1"/>
    <row r="79" ht="15.75" customHeight="1">
      <c r="A79" s="37"/>
      <c r="B79" s="38" t="s">
        <v>72</v>
      </c>
      <c r="C79" s="38" t="s">
        <v>73</v>
      </c>
    </row>
    <row r="80" ht="15.75" customHeight="1">
      <c r="A80" s="38" t="s">
        <v>74</v>
      </c>
      <c r="B80" s="39">
        <f>F77+F42</f>
        <v>89885412.82</v>
      </c>
      <c r="C80" s="39">
        <f>B80*12</f>
        <v>1078624954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8">
    <mergeCell ref="A1:I1"/>
    <mergeCell ref="A7:A8"/>
    <mergeCell ref="B7:F7"/>
    <mergeCell ref="G7:I7"/>
    <mergeCell ref="A30:F30"/>
    <mergeCell ref="A31:A32"/>
    <mergeCell ref="B31:C31"/>
    <mergeCell ref="A66:A67"/>
    <mergeCell ref="B66:C66"/>
    <mergeCell ref="D66:E66"/>
    <mergeCell ref="F66:F67"/>
    <mergeCell ref="D31:E31"/>
    <mergeCell ref="F31:F32"/>
    <mergeCell ref="A46:D47"/>
    <mergeCell ref="A49:A50"/>
    <mergeCell ref="B49:F49"/>
    <mergeCell ref="G49:I49"/>
    <mergeCell ref="A65:F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4.63"/>
    <col customWidth="1" min="5" max="26" width="10.63"/>
  </cols>
  <sheetData>
    <row r="2">
      <c r="B2" s="112" t="s">
        <v>167</v>
      </c>
      <c r="C2" s="113">
        <v>0.0</v>
      </c>
      <c r="D2" s="112">
        <v>1.0</v>
      </c>
      <c r="E2" s="112">
        <v>2.0</v>
      </c>
      <c r="F2" s="112">
        <v>3.0</v>
      </c>
      <c r="G2" s="112">
        <v>4.0</v>
      </c>
      <c r="H2" s="112">
        <v>5.0</v>
      </c>
      <c r="I2" s="112">
        <v>6.0</v>
      </c>
      <c r="J2" s="112">
        <v>7.0</v>
      </c>
      <c r="K2" s="112">
        <v>8.0</v>
      </c>
      <c r="L2" s="112">
        <v>9.0</v>
      </c>
      <c r="M2" s="112">
        <v>10.0</v>
      </c>
      <c r="N2" s="112">
        <v>11.0</v>
      </c>
      <c r="O2" s="112">
        <v>12.0</v>
      </c>
    </row>
    <row r="3">
      <c r="B3" s="112" t="s">
        <v>168</v>
      </c>
      <c r="C3" s="114">
        <v>0.0</v>
      </c>
      <c r="D3" s="114" t="str">
        <f>'[1]Costo Directo'!G9</f>
        <v>#REF!</v>
      </c>
      <c r="E3" s="114" t="str">
        <f t="shared" ref="E3:O3" si="1">D3</f>
        <v>#REF!</v>
      </c>
      <c r="F3" s="114" t="str">
        <f t="shared" si="1"/>
        <v>#REF!</v>
      </c>
      <c r="G3" s="114" t="str">
        <f t="shared" si="1"/>
        <v>#REF!</v>
      </c>
      <c r="H3" s="114" t="str">
        <f t="shared" si="1"/>
        <v>#REF!</v>
      </c>
      <c r="I3" s="114" t="str">
        <f t="shared" si="1"/>
        <v>#REF!</v>
      </c>
      <c r="J3" s="114" t="str">
        <f t="shared" si="1"/>
        <v>#REF!</v>
      </c>
      <c r="K3" s="114" t="str">
        <f t="shared" si="1"/>
        <v>#REF!</v>
      </c>
      <c r="L3" s="114" t="str">
        <f t="shared" si="1"/>
        <v>#REF!</v>
      </c>
      <c r="M3" s="114" t="str">
        <f t="shared" si="1"/>
        <v>#REF!</v>
      </c>
      <c r="N3" s="114" t="str">
        <f t="shared" si="1"/>
        <v>#REF!</v>
      </c>
      <c r="O3" s="114" t="str">
        <f t="shared" si="1"/>
        <v>#REF!</v>
      </c>
    </row>
    <row r="4">
      <c r="B4" s="112" t="s">
        <v>169</v>
      </c>
      <c r="C4" s="114">
        <v>0.0</v>
      </c>
      <c r="D4" s="115" t="str">
        <f>-('[1]Costo Directo'!G18-'[1]Costo de proyecto'!K23)</f>
        <v>#REF!</v>
      </c>
      <c r="E4" s="114" t="str">
        <f t="shared" ref="E4:O4" si="2">D4</f>
        <v>#REF!</v>
      </c>
      <c r="F4" s="114" t="str">
        <f t="shared" si="2"/>
        <v>#REF!</v>
      </c>
      <c r="G4" s="114" t="str">
        <f t="shared" si="2"/>
        <v>#REF!</v>
      </c>
      <c r="H4" s="114" t="str">
        <f t="shared" si="2"/>
        <v>#REF!</v>
      </c>
      <c r="I4" s="114" t="str">
        <f t="shared" si="2"/>
        <v>#REF!</v>
      </c>
      <c r="J4" s="114" t="str">
        <f t="shared" si="2"/>
        <v>#REF!</v>
      </c>
      <c r="K4" s="114" t="str">
        <f t="shared" si="2"/>
        <v>#REF!</v>
      </c>
      <c r="L4" s="114" t="str">
        <f t="shared" si="2"/>
        <v>#REF!</v>
      </c>
      <c r="M4" s="114" t="str">
        <f t="shared" si="2"/>
        <v>#REF!</v>
      </c>
      <c r="N4" s="114" t="str">
        <f t="shared" si="2"/>
        <v>#REF!</v>
      </c>
      <c r="O4" s="114" t="str">
        <f t="shared" si="2"/>
        <v>#REF!</v>
      </c>
    </row>
    <row r="5">
      <c r="B5" s="116" t="s">
        <v>170</v>
      </c>
      <c r="C5" s="117">
        <f t="shared" ref="C5:D5" si="3">SUM(C3:C4)</f>
        <v>0</v>
      </c>
      <c r="D5" s="117" t="str">
        <f t="shared" si="3"/>
        <v>#REF!</v>
      </c>
      <c r="E5" s="117" t="str">
        <f t="shared" ref="E5:O5" si="4">D5</f>
        <v>#REF!</v>
      </c>
      <c r="F5" s="117" t="str">
        <f t="shared" si="4"/>
        <v>#REF!</v>
      </c>
      <c r="G5" s="117" t="str">
        <f t="shared" si="4"/>
        <v>#REF!</v>
      </c>
      <c r="H5" s="117" t="str">
        <f t="shared" si="4"/>
        <v>#REF!</v>
      </c>
      <c r="I5" s="117" t="str">
        <f t="shared" si="4"/>
        <v>#REF!</v>
      </c>
      <c r="J5" s="117" t="str">
        <f t="shared" si="4"/>
        <v>#REF!</v>
      </c>
      <c r="K5" s="117" t="str">
        <f t="shared" si="4"/>
        <v>#REF!</v>
      </c>
      <c r="L5" s="117" t="str">
        <f t="shared" si="4"/>
        <v>#REF!</v>
      </c>
      <c r="M5" s="117" t="str">
        <f t="shared" si="4"/>
        <v>#REF!</v>
      </c>
      <c r="N5" s="117" t="str">
        <f t="shared" si="4"/>
        <v>#REF!</v>
      </c>
      <c r="O5" s="117" t="str">
        <f t="shared" si="4"/>
        <v>#REF!</v>
      </c>
    </row>
    <row r="6">
      <c r="B6" s="112" t="s">
        <v>171</v>
      </c>
      <c r="C6" s="114">
        <v>0.0</v>
      </c>
      <c r="D6" s="118" t="str">
        <f>'[1]Costo de proyecto'!K23</f>
        <v>#REF!</v>
      </c>
      <c r="E6" s="114" t="str">
        <f t="shared" ref="E6:O6" si="5">D6</f>
        <v>#REF!</v>
      </c>
      <c r="F6" s="114" t="str">
        <f t="shared" si="5"/>
        <v>#REF!</v>
      </c>
      <c r="G6" s="114" t="str">
        <f t="shared" si="5"/>
        <v>#REF!</v>
      </c>
      <c r="H6" s="114" t="str">
        <f t="shared" si="5"/>
        <v>#REF!</v>
      </c>
      <c r="I6" s="114" t="str">
        <f t="shared" si="5"/>
        <v>#REF!</v>
      </c>
      <c r="J6" s="114" t="str">
        <f t="shared" si="5"/>
        <v>#REF!</v>
      </c>
      <c r="K6" s="114" t="str">
        <f t="shared" si="5"/>
        <v>#REF!</v>
      </c>
      <c r="L6" s="114" t="str">
        <f t="shared" si="5"/>
        <v>#REF!</v>
      </c>
      <c r="M6" s="114" t="str">
        <f t="shared" si="5"/>
        <v>#REF!</v>
      </c>
      <c r="N6" s="114" t="str">
        <f t="shared" si="5"/>
        <v>#REF!</v>
      </c>
      <c r="O6" s="114" t="str">
        <f t="shared" si="5"/>
        <v>#REF!</v>
      </c>
    </row>
    <row r="7">
      <c r="B7" s="112" t="s">
        <v>172</v>
      </c>
      <c r="C7" s="114" t="str">
        <f>-'[1]Costo de proyecto'!F22</f>
        <v>#REF!</v>
      </c>
      <c r="D7" s="114">
        <v>0.0</v>
      </c>
      <c r="E7" s="114">
        <f t="shared" ref="E7:O7" si="6">D7</f>
        <v>0</v>
      </c>
      <c r="F7" s="114">
        <f t="shared" si="6"/>
        <v>0</v>
      </c>
      <c r="G7" s="114">
        <f t="shared" si="6"/>
        <v>0</v>
      </c>
      <c r="H7" s="114">
        <f t="shared" si="6"/>
        <v>0</v>
      </c>
      <c r="I7" s="114">
        <f t="shared" si="6"/>
        <v>0</v>
      </c>
      <c r="J7" s="114">
        <f t="shared" si="6"/>
        <v>0</v>
      </c>
      <c r="K7" s="114">
        <f t="shared" si="6"/>
        <v>0</v>
      </c>
      <c r="L7" s="114">
        <f t="shared" si="6"/>
        <v>0</v>
      </c>
      <c r="M7" s="114">
        <f t="shared" si="6"/>
        <v>0</v>
      </c>
      <c r="N7" s="114">
        <f t="shared" si="6"/>
        <v>0</v>
      </c>
      <c r="O7" s="114">
        <f t="shared" si="6"/>
        <v>0</v>
      </c>
    </row>
    <row r="8">
      <c r="B8" s="112" t="s">
        <v>173</v>
      </c>
      <c r="C8" s="119">
        <v>0.0</v>
      </c>
      <c r="D8" s="119" t="str">
        <f>-[1]Prestamo!C10</f>
        <v>#ERROR!</v>
      </c>
      <c r="E8" s="114" t="str">
        <f t="shared" ref="E8:O8" si="7">D8</f>
        <v>#ERROR!</v>
      </c>
      <c r="F8" s="114" t="str">
        <f t="shared" si="7"/>
        <v>#ERROR!</v>
      </c>
      <c r="G8" s="114" t="str">
        <f t="shared" si="7"/>
        <v>#ERROR!</v>
      </c>
      <c r="H8" s="114" t="str">
        <f t="shared" si="7"/>
        <v>#ERROR!</v>
      </c>
      <c r="I8" s="114" t="str">
        <f t="shared" si="7"/>
        <v>#ERROR!</v>
      </c>
      <c r="J8" s="114" t="str">
        <f t="shared" si="7"/>
        <v>#ERROR!</v>
      </c>
      <c r="K8" s="114" t="str">
        <f t="shared" si="7"/>
        <v>#ERROR!</v>
      </c>
      <c r="L8" s="114" t="str">
        <f t="shared" si="7"/>
        <v>#ERROR!</v>
      </c>
      <c r="M8" s="114" t="str">
        <f t="shared" si="7"/>
        <v>#ERROR!</v>
      </c>
      <c r="N8" s="114" t="str">
        <f t="shared" si="7"/>
        <v>#ERROR!</v>
      </c>
      <c r="O8" s="114" t="str">
        <f t="shared" si="7"/>
        <v>#ERROR!</v>
      </c>
    </row>
    <row r="9">
      <c r="B9" s="120" t="s">
        <v>174</v>
      </c>
      <c r="C9" s="120" t="str">
        <f>SUM(C3:C8)</f>
        <v>#REF!</v>
      </c>
      <c r="D9" s="120" t="str">
        <f t="shared" ref="D9:O9" si="8">D5+D6+D8</f>
        <v>#REF!</v>
      </c>
      <c r="E9" s="120" t="str">
        <f t="shared" si="8"/>
        <v>#REF!</v>
      </c>
      <c r="F9" s="120" t="str">
        <f t="shared" si="8"/>
        <v>#REF!</v>
      </c>
      <c r="G9" s="120" t="str">
        <f t="shared" si="8"/>
        <v>#REF!</v>
      </c>
      <c r="H9" s="120" t="str">
        <f t="shared" si="8"/>
        <v>#REF!</v>
      </c>
      <c r="I9" s="120" t="str">
        <f t="shared" si="8"/>
        <v>#REF!</v>
      </c>
      <c r="J9" s="120" t="str">
        <f t="shared" si="8"/>
        <v>#REF!</v>
      </c>
      <c r="K9" s="120" t="str">
        <f t="shared" si="8"/>
        <v>#REF!</v>
      </c>
      <c r="L9" s="120" t="str">
        <f t="shared" si="8"/>
        <v>#REF!</v>
      </c>
      <c r="M9" s="120" t="str">
        <f t="shared" si="8"/>
        <v>#REF!</v>
      </c>
      <c r="N9" s="120" t="str">
        <f t="shared" si="8"/>
        <v>#REF!</v>
      </c>
      <c r="O9" s="120" t="str">
        <f t="shared" si="8"/>
        <v>#REF!</v>
      </c>
    </row>
    <row r="10">
      <c r="B10" s="121" t="s">
        <v>175</v>
      </c>
      <c r="C10" s="122"/>
      <c r="D10" s="114" t="str">
        <f>D9+C9</f>
        <v>#REF!</v>
      </c>
      <c r="E10" s="114" t="str">
        <f>E9+D10</f>
        <v>#REF!</v>
      </c>
      <c r="F10" s="114" t="str">
        <f t="shared" ref="F10:O10" si="9">E10+F9</f>
        <v>#REF!</v>
      </c>
      <c r="G10" s="114" t="str">
        <f t="shared" si="9"/>
        <v>#REF!</v>
      </c>
      <c r="H10" s="114" t="str">
        <f t="shared" si="9"/>
        <v>#REF!</v>
      </c>
      <c r="I10" s="114" t="str">
        <f t="shared" si="9"/>
        <v>#REF!</v>
      </c>
      <c r="J10" s="114" t="str">
        <f t="shared" si="9"/>
        <v>#REF!</v>
      </c>
      <c r="K10" s="114" t="str">
        <f t="shared" si="9"/>
        <v>#REF!</v>
      </c>
      <c r="L10" s="114" t="str">
        <f t="shared" si="9"/>
        <v>#REF!</v>
      </c>
      <c r="M10" s="114" t="str">
        <f t="shared" si="9"/>
        <v>#REF!</v>
      </c>
      <c r="N10" s="114" t="str">
        <f t="shared" si="9"/>
        <v>#REF!</v>
      </c>
      <c r="O10" s="114" t="str">
        <f t="shared" si="9"/>
        <v>#REF!</v>
      </c>
    </row>
    <row r="11"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</row>
    <row r="12">
      <c r="B12" s="123" t="s">
        <v>176</v>
      </c>
      <c r="C12" s="124">
        <v>0.1</v>
      </c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</row>
    <row r="13">
      <c r="B13" s="123" t="s">
        <v>177</v>
      </c>
      <c r="C13" s="125" t="str">
        <f t="array" ref="C13">C9+NPV(C12,D9:O9)</f>
        <v>#REF!</v>
      </c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</row>
    <row r="14">
      <c r="B14" s="123" t="s">
        <v>178</v>
      </c>
      <c r="C14" s="124" t="str">
        <f>IRR(C9:O9)</f>
        <v>#REF!</v>
      </c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</row>
    <row r="15">
      <c r="B15" s="123" t="s">
        <v>179</v>
      </c>
      <c r="C15" s="126" t="str">
        <f>C23</f>
        <v>#REF!</v>
      </c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</row>
    <row r="19">
      <c r="B19" s="127" t="s">
        <v>180</v>
      </c>
      <c r="C19" s="3"/>
    </row>
    <row r="20">
      <c r="B20" s="128" t="s">
        <v>181</v>
      </c>
      <c r="C20" s="128">
        <v>1.0</v>
      </c>
    </row>
    <row r="21" ht="15.75" customHeight="1">
      <c r="B21" s="128" t="s">
        <v>182</v>
      </c>
      <c r="C21" s="129" t="str">
        <f>ABS(D10)</f>
        <v>#REF!</v>
      </c>
    </row>
    <row r="22" ht="15.75" customHeight="1">
      <c r="B22" s="128" t="s">
        <v>183</v>
      </c>
      <c r="C22" s="129" t="str">
        <f>E9</f>
        <v>#REF!</v>
      </c>
    </row>
    <row r="23" ht="15.75" customHeight="1">
      <c r="B23" s="128" t="s">
        <v>179</v>
      </c>
      <c r="C23" s="130" t="str">
        <f>C20+C21/C22</f>
        <v>#REF!</v>
      </c>
      <c r="D23" s="131" t="s">
        <v>184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9:C1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2025-06-09T14:42:55Z</dcterms:created>
  <dc:creator>Johan Alejandro Lopez Arias</dc:creator>
</cp:coreProperties>
</file>