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o_\Desktop\COSTOS\"/>
    </mc:Choice>
  </mc:AlternateContent>
  <xr:revisionPtr revIDLastSave="0" documentId="13_ncr:1_{B4233B25-8766-4247-B665-19E62491889D}" xr6:coauthVersionLast="47" xr6:coauthVersionMax="47" xr10:uidLastSave="{00000000-0000-0000-0000-000000000000}"/>
  <bookViews>
    <workbookView xWindow="-120" yWindow="-120" windowWidth="29040" windowHeight="15720" tabRatio="798" firstSheet="1" activeTab="4" xr2:uid="{529BCF91-95AC-4E75-AD06-D2142B5EBFB8}"/>
  </bookViews>
  <sheets>
    <sheet name="Costos de Producción" sheetId="2" r:id="rId1"/>
    <sheet name="Flujo de Caja e Indicadores" sheetId="13" r:id="rId2"/>
    <sheet name="Comparativa Indicadores" sheetId="14" r:id="rId3"/>
    <sheet name="Nomina" sheetId="6" r:id="rId4"/>
    <sheet name="Costos de Inversión Inicial" sheetId="7" r:id="rId5"/>
    <sheet name="Proyeccion de ventas" sheetId="12" r:id="rId6"/>
    <sheet name="Herramientas de Personal" sheetId="11" r:id="rId7"/>
    <sheet name="Costos Materia Prima Bicileta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3" l="1"/>
  <c r="B12" i="12"/>
  <c r="C12" i="12" s="1"/>
  <c r="F7" i="12" s="1"/>
  <c r="B13" i="12"/>
  <c r="C13" i="12" s="1"/>
  <c r="I4" i="12" s="1"/>
  <c r="B11" i="12"/>
  <c r="B18" i="13"/>
  <c r="D5" i="13"/>
  <c r="E11" i="13"/>
  <c r="C11" i="13"/>
  <c r="K14" i="2"/>
  <c r="K13" i="2"/>
  <c r="K12" i="2"/>
  <c r="K11" i="2"/>
  <c r="K10" i="2"/>
  <c r="K9" i="2"/>
  <c r="K8" i="2"/>
  <c r="K7" i="2"/>
  <c r="K6" i="2"/>
  <c r="K5" i="2"/>
  <c r="K4" i="2"/>
  <c r="K3" i="2"/>
  <c r="B15" i="12" l="1"/>
  <c r="C11" i="12"/>
  <c r="C4" i="12" s="1"/>
  <c r="F6" i="12"/>
  <c r="F8" i="12"/>
  <c r="F5" i="12"/>
  <c r="F4" i="12"/>
  <c r="F3" i="12"/>
  <c r="I3" i="12"/>
  <c r="I8" i="12"/>
  <c r="I7" i="12"/>
  <c r="I6" i="12"/>
  <c r="I5" i="12"/>
  <c r="C10" i="13"/>
  <c r="C9" i="13"/>
  <c r="C8" i="13"/>
  <c r="C7" i="13"/>
  <c r="C6" i="13"/>
  <c r="A2" i="13"/>
  <c r="E10" i="13" s="1"/>
  <c r="H5" i="13"/>
  <c r="G5" i="13"/>
  <c r="I5" i="13" s="1"/>
  <c r="J5" i="13" s="1"/>
  <c r="K5" i="13" s="1"/>
  <c r="F5" i="13"/>
  <c r="C3" i="12" l="1"/>
  <c r="C5" i="12"/>
  <c r="C6" i="12"/>
  <c r="C8" i="12"/>
  <c r="C7" i="12"/>
  <c r="E6" i="13"/>
  <c r="E9" i="13"/>
  <c r="E8" i="13"/>
  <c r="E7" i="13"/>
  <c r="J3" i="12"/>
  <c r="G3" i="12"/>
  <c r="D3" i="12"/>
  <c r="J4" i="12" l="1"/>
  <c r="J5" i="12" s="1"/>
  <c r="G4" i="12"/>
  <c r="H4" i="12" s="1"/>
  <c r="D4" i="12"/>
  <c r="E4" i="12" s="1"/>
  <c r="K3" i="12"/>
  <c r="H3" i="12"/>
  <c r="E3" i="12"/>
  <c r="J13" i="2"/>
  <c r="J12" i="2"/>
  <c r="J11" i="2"/>
  <c r="J10" i="2"/>
  <c r="J9" i="2"/>
  <c r="J8" i="2"/>
  <c r="J7" i="2"/>
  <c r="J6" i="2"/>
  <c r="J5" i="2"/>
  <c r="J4" i="2"/>
  <c r="J14" i="2" s="1"/>
  <c r="J3" i="2"/>
  <c r="I13" i="2"/>
  <c r="I14" i="2" s="1"/>
  <c r="I12" i="2"/>
  <c r="I11" i="2"/>
  <c r="I10" i="2"/>
  <c r="I9" i="2"/>
  <c r="I8" i="2"/>
  <c r="I7" i="2"/>
  <c r="I6" i="2"/>
  <c r="I5" i="2"/>
  <c r="I4" i="2"/>
  <c r="I3" i="2"/>
  <c r="H4" i="2"/>
  <c r="H5" i="2"/>
  <c r="H6" i="2"/>
  <c r="H7" i="2"/>
  <c r="H8" i="2"/>
  <c r="H9" i="2"/>
  <c r="H10" i="2"/>
  <c r="H11" i="2"/>
  <c r="H12" i="2"/>
  <c r="H13" i="2"/>
  <c r="H3" i="2"/>
  <c r="G14" i="2"/>
  <c r="G4" i="2"/>
  <c r="G5" i="2"/>
  <c r="G6" i="2"/>
  <c r="G7" i="2"/>
  <c r="G8" i="2"/>
  <c r="G9" i="2"/>
  <c r="G10" i="2"/>
  <c r="G11" i="2"/>
  <c r="G12" i="2"/>
  <c r="G13" i="2"/>
  <c r="G3" i="2"/>
  <c r="F12" i="2"/>
  <c r="F13" i="2" s="1"/>
  <c r="F11" i="2"/>
  <c r="E11" i="2" s="1"/>
  <c r="F10" i="2"/>
  <c r="E10" i="2" s="1"/>
  <c r="R30" i="8"/>
  <c r="L30" i="8"/>
  <c r="E29" i="8"/>
  <c r="R29" i="8"/>
  <c r="L29" i="8"/>
  <c r="E28" i="8"/>
  <c r="R28" i="8"/>
  <c r="L28" i="8"/>
  <c r="E27" i="8"/>
  <c r="R24" i="8"/>
  <c r="L24" i="8"/>
  <c r="R23" i="8"/>
  <c r="L23" i="8"/>
  <c r="E22" i="8"/>
  <c r="E23" i="8" s="1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3" i="8"/>
  <c r="E8" i="2"/>
  <c r="F5" i="2"/>
  <c r="E4" i="7"/>
  <c r="G4" i="7" s="1"/>
  <c r="G34" i="7"/>
  <c r="F9" i="2"/>
  <c r="G20" i="7"/>
  <c r="G23" i="7"/>
  <c r="G28" i="7"/>
  <c r="G29" i="7"/>
  <c r="G30" i="7"/>
  <c r="G31" i="7"/>
  <c r="G32" i="7"/>
  <c r="G33" i="7"/>
  <c r="F35" i="6"/>
  <c r="G35" i="6" s="1"/>
  <c r="F33" i="6"/>
  <c r="F32" i="6"/>
  <c r="H32" i="6" s="1"/>
  <c r="F31" i="6"/>
  <c r="H31" i="6" s="1"/>
  <c r="H30" i="6"/>
  <c r="G30" i="6"/>
  <c r="I30" i="6" s="1"/>
  <c r="J30" i="6" s="1"/>
  <c r="F30" i="6"/>
  <c r="F27" i="6"/>
  <c r="H27" i="6" s="1"/>
  <c r="F26" i="6"/>
  <c r="H26" i="6" s="1"/>
  <c r="F25" i="6"/>
  <c r="H25" i="6" s="1"/>
  <c r="F24" i="6"/>
  <c r="H24" i="6" s="1"/>
  <c r="F29" i="6"/>
  <c r="G29" i="6" s="1"/>
  <c r="F28" i="6"/>
  <c r="H28" i="6" s="1"/>
  <c r="E3" i="2"/>
  <c r="E11" i="7"/>
  <c r="G11" i="7" s="1"/>
  <c r="C40" i="11"/>
  <c r="G13" i="7"/>
  <c r="E5" i="7"/>
  <c r="G5" i="7" s="1"/>
  <c r="G9" i="7"/>
  <c r="G12" i="7"/>
  <c r="G19" i="7"/>
  <c r="E6" i="7"/>
  <c r="G6" i="7" s="1"/>
  <c r="E7" i="7"/>
  <c r="G7" i="7" s="1"/>
  <c r="E8" i="7"/>
  <c r="G8" i="7" s="1"/>
  <c r="E10" i="7"/>
  <c r="G10" i="7" s="1"/>
  <c r="E14" i="7"/>
  <c r="G14" i="7" s="1"/>
  <c r="E15" i="7"/>
  <c r="E16" i="7"/>
  <c r="G16" i="7" s="1"/>
  <c r="E17" i="7"/>
  <c r="G17" i="7" s="1"/>
  <c r="E18" i="7"/>
  <c r="G18" i="7" s="1"/>
  <c r="E21" i="7"/>
  <c r="G21" i="7" s="1"/>
  <c r="G22" i="7"/>
  <c r="G24" i="7"/>
  <c r="G25" i="7"/>
  <c r="G26" i="7"/>
  <c r="G27" i="7"/>
  <c r="E3" i="7"/>
  <c r="G3" i="7" s="1"/>
  <c r="F10" i="6"/>
  <c r="G10" i="6" s="1"/>
  <c r="F11" i="6"/>
  <c r="H11" i="6" s="1"/>
  <c r="F12" i="6"/>
  <c r="F13" i="6"/>
  <c r="G13" i="6" s="1"/>
  <c r="E36" i="6"/>
  <c r="D36" i="6"/>
  <c r="B36" i="6"/>
  <c r="F34" i="6"/>
  <c r="G34" i="6" s="1"/>
  <c r="F23" i="6"/>
  <c r="G23" i="6" s="1"/>
  <c r="F22" i="6"/>
  <c r="F21" i="6"/>
  <c r="F20" i="6"/>
  <c r="G20" i="6" s="1"/>
  <c r="F19" i="6"/>
  <c r="H19" i="6" s="1"/>
  <c r="F18" i="6"/>
  <c r="H18" i="6" s="1"/>
  <c r="F17" i="6"/>
  <c r="F16" i="6"/>
  <c r="G16" i="6" s="1"/>
  <c r="F15" i="6"/>
  <c r="G15" i="6" s="1"/>
  <c r="F14" i="6"/>
  <c r="I2" i="6"/>
  <c r="L3" i="12" l="1"/>
  <c r="M3" i="12" s="1"/>
  <c r="G5" i="12"/>
  <c r="D5" i="12"/>
  <c r="D6" i="12" s="1"/>
  <c r="E6" i="12" s="1"/>
  <c r="K5" i="12"/>
  <c r="J6" i="12"/>
  <c r="J7" i="12" s="1"/>
  <c r="K4" i="12"/>
  <c r="L4" i="12" s="1"/>
  <c r="M4" i="12" s="1"/>
  <c r="H14" i="2"/>
  <c r="E14" i="2"/>
  <c r="E12" i="2"/>
  <c r="E13" i="2" s="1"/>
  <c r="H35" i="6"/>
  <c r="I35" i="6"/>
  <c r="J35" i="6"/>
  <c r="G32" i="6"/>
  <c r="I32" i="6" s="1"/>
  <c r="J32" i="6" s="1"/>
  <c r="G33" i="6"/>
  <c r="H33" i="6"/>
  <c r="G31" i="6"/>
  <c r="I31" i="6" s="1"/>
  <c r="J31" i="6" s="1"/>
  <c r="H29" i="6"/>
  <c r="I29" i="6" s="1"/>
  <c r="J29" i="6" s="1"/>
  <c r="G28" i="6"/>
  <c r="I28" i="6" s="1"/>
  <c r="J28" i="6" s="1"/>
  <c r="G27" i="6"/>
  <c r="I27" i="6" s="1"/>
  <c r="J27" i="6" s="1"/>
  <c r="G25" i="6"/>
  <c r="I25" i="6" s="1"/>
  <c r="J25" i="6" s="1"/>
  <c r="G26" i="6"/>
  <c r="I26" i="6" s="1"/>
  <c r="J26" i="6" s="1"/>
  <c r="G24" i="6"/>
  <c r="I24" i="6" s="1"/>
  <c r="J24" i="6" s="1"/>
  <c r="H13" i="6"/>
  <c r="I13" i="6" s="1"/>
  <c r="J13" i="6" s="1"/>
  <c r="G11" i="6"/>
  <c r="I11" i="6" s="1"/>
  <c r="J11" i="6" s="1"/>
  <c r="H10" i="6"/>
  <c r="I10" i="6" s="1"/>
  <c r="J10" i="6" s="1"/>
  <c r="G15" i="7"/>
  <c r="G35" i="7" s="1"/>
  <c r="G12" i="6"/>
  <c r="H12" i="6"/>
  <c r="H20" i="6"/>
  <c r="I20" i="6" s="1"/>
  <c r="J20" i="6" s="1"/>
  <c r="G18" i="6"/>
  <c r="I18" i="6" s="1"/>
  <c r="J18" i="6" s="1"/>
  <c r="H15" i="6"/>
  <c r="I15" i="6" s="1"/>
  <c r="J15" i="6" s="1"/>
  <c r="H34" i="6"/>
  <c r="I34" i="6" s="1"/>
  <c r="J34" i="6" s="1"/>
  <c r="H23" i="6"/>
  <c r="I23" i="6" s="1"/>
  <c r="J23" i="6" s="1"/>
  <c r="H16" i="6"/>
  <c r="I16" i="6" s="1"/>
  <c r="J16" i="6" s="1"/>
  <c r="G21" i="6"/>
  <c r="G14" i="6"/>
  <c r="H21" i="6"/>
  <c r="H14" i="6"/>
  <c r="G19" i="6"/>
  <c r="I19" i="6" s="1"/>
  <c r="J19" i="6" s="1"/>
  <c r="F36" i="6"/>
  <c r="H17" i="6"/>
  <c r="G22" i="6"/>
  <c r="G17" i="6"/>
  <c r="H22" i="6"/>
  <c r="K7" i="12" l="1"/>
  <c r="J8" i="12"/>
  <c r="K8" i="12" s="1"/>
  <c r="B6" i="13"/>
  <c r="H6" i="13" s="1"/>
  <c r="B7" i="13"/>
  <c r="H5" i="12"/>
  <c r="G6" i="12"/>
  <c r="E5" i="12"/>
  <c r="D7" i="12"/>
  <c r="K6" i="12"/>
  <c r="I33" i="6"/>
  <c r="J33" i="6" s="1"/>
  <c r="I17" i="6"/>
  <c r="J17" i="6" s="1"/>
  <c r="I12" i="6"/>
  <c r="J12" i="6" s="1"/>
  <c r="I14" i="6"/>
  <c r="J14" i="6" s="1"/>
  <c r="C42" i="6"/>
  <c r="E45" i="6"/>
  <c r="E41" i="6"/>
  <c r="C45" i="6"/>
  <c r="C41" i="6"/>
  <c r="C44" i="6"/>
  <c r="E46" i="6"/>
  <c r="E44" i="6"/>
  <c r="E42" i="6"/>
  <c r="C46" i="6"/>
  <c r="E47" i="6"/>
  <c r="E43" i="6"/>
  <c r="C47" i="6"/>
  <c r="C43" i="6"/>
  <c r="G36" i="6"/>
  <c r="I22" i="6"/>
  <c r="J22" i="6" s="1"/>
  <c r="I21" i="6"/>
  <c r="J21" i="6" s="1"/>
  <c r="E7" i="12" l="1"/>
  <c r="D8" i="12"/>
  <c r="E8" i="12" s="1"/>
  <c r="F6" i="13"/>
  <c r="G6" i="13" s="1"/>
  <c r="L5" i="12"/>
  <c r="M5" i="12" s="1"/>
  <c r="B8" i="13" s="1"/>
  <c r="H7" i="13"/>
  <c r="F7" i="13"/>
  <c r="G7" i="13" s="1"/>
  <c r="H6" i="12"/>
  <c r="L6" i="12" s="1"/>
  <c r="M6" i="12" s="1"/>
  <c r="G7" i="12"/>
  <c r="F45" i="6"/>
  <c r="J36" i="6"/>
  <c r="I36" i="6"/>
  <c r="F46" i="6"/>
  <c r="E48" i="6"/>
  <c r="F42" i="6"/>
  <c r="F44" i="6"/>
  <c r="F41" i="6"/>
  <c r="C48" i="6"/>
  <c r="F43" i="6"/>
  <c r="F47" i="6"/>
  <c r="H7" i="12" l="1"/>
  <c r="L7" i="12" s="1"/>
  <c r="M7" i="12" s="1"/>
  <c r="G8" i="12"/>
  <c r="H8" i="12" s="1"/>
  <c r="L8" i="12" s="1"/>
  <c r="M8" i="12" s="1"/>
  <c r="B11" i="13" s="1"/>
  <c r="I6" i="13"/>
  <c r="J6" i="13" s="1"/>
  <c r="I7" i="13"/>
  <c r="J7" i="13" s="1"/>
  <c r="B9" i="13"/>
  <c r="H8" i="13"/>
  <c r="F8" i="13"/>
  <c r="G8" i="13" s="1"/>
  <c r="F50" i="6"/>
  <c r="F48" i="6"/>
  <c r="H11" i="13" l="1"/>
  <c r="F11" i="13"/>
  <c r="G11" i="13" s="1"/>
  <c r="B10" i="13"/>
  <c r="H10" i="13" s="1"/>
  <c r="K6" i="13"/>
  <c r="K7" i="13" s="1"/>
  <c r="I8" i="13"/>
  <c r="J8" i="13" s="1"/>
  <c r="H9" i="13"/>
  <c r="F9" i="13"/>
  <c r="G9" i="13" s="1"/>
  <c r="F51" i="6"/>
  <c r="I11" i="13" l="1"/>
  <c r="J11" i="13" s="1"/>
  <c r="F10" i="13"/>
  <c r="G10" i="13" s="1"/>
  <c r="I9" i="13"/>
  <c r="J9" i="13" s="1"/>
  <c r="K8" i="13"/>
  <c r="F3" i="2"/>
  <c r="F14" i="2" s="1"/>
  <c r="F4" i="2"/>
  <c r="F6" i="2"/>
  <c r="F7" i="2"/>
  <c r="F8" i="2"/>
  <c r="B19" i="13" l="1"/>
  <c r="I10" i="13"/>
  <c r="J10" i="13" s="1"/>
  <c r="B15" i="13" s="1"/>
  <c r="K9" i="13"/>
  <c r="B20" i="13" s="1"/>
  <c r="B21" i="13" l="1"/>
  <c r="K10" i="13"/>
  <c r="K11" i="13" s="1"/>
  <c r="B17" i="13" s="1"/>
  <c r="B16" i="13" l="1"/>
</calcChain>
</file>

<file path=xl/sharedStrings.xml><?xml version="1.0" encoding="utf-8"?>
<sst xmlns="http://schemas.openxmlformats.org/spreadsheetml/2006/main" count="511" uniqueCount="342">
  <si>
    <t>Item</t>
  </si>
  <si>
    <t>No. Item</t>
  </si>
  <si>
    <t>Costo</t>
  </si>
  <si>
    <t>Cantidad</t>
  </si>
  <si>
    <t>Subtotal</t>
  </si>
  <si>
    <t>Bicicleta 1</t>
  </si>
  <si>
    <t>Consumo Electrico</t>
  </si>
  <si>
    <t>Total</t>
  </si>
  <si>
    <t>Costos</t>
  </si>
  <si>
    <t>Mensual</t>
  </si>
  <si>
    <t>AÑO 1</t>
  </si>
  <si>
    <t>AÑO 2</t>
  </si>
  <si>
    <t>AÑO 3</t>
  </si>
  <si>
    <t>AÑO 4</t>
  </si>
  <si>
    <t>AÑO 5</t>
  </si>
  <si>
    <t>THE ROLLING VOLTS</t>
  </si>
  <si>
    <t>Planilla de Nomina</t>
  </si>
  <si>
    <t>DE:</t>
  </si>
  <si>
    <t>A</t>
  </si>
  <si>
    <t>NOMBRE</t>
  </si>
  <si>
    <t>DEVENGADOS</t>
  </si>
  <si>
    <t>DEDUCCIONES</t>
  </si>
  <si>
    <t>VALOR A</t>
  </si>
  <si>
    <t>BASICO</t>
  </si>
  <si>
    <t>DIAS</t>
  </si>
  <si>
    <t>TRANSP</t>
  </si>
  <si>
    <t>OTROS</t>
  </si>
  <si>
    <t>TOTAL</t>
  </si>
  <si>
    <t>SALUD</t>
  </si>
  <si>
    <t>PENSION</t>
  </si>
  <si>
    <t>PAGAR</t>
  </si>
  <si>
    <t>TOTALES</t>
  </si>
  <si>
    <t>APROPIACIONES</t>
  </si>
  <si>
    <t>CONCEPTO</t>
  </si>
  <si>
    <t>PATRONO</t>
  </si>
  <si>
    <t>EMPLEADO</t>
  </si>
  <si>
    <t>%</t>
  </si>
  <si>
    <t>VALOR</t>
  </si>
  <si>
    <t>CESANTIAS</t>
  </si>
  <si>
    <t>INTERESES</t>
  </si>
  <si>
    <t>PRIMA</t>
  </si>
  <si>
    <t>VACACIONES</t>
  </si>
  <si>
    <t>PARA FISCALES</t>
  </si>
  <si>
    <t>Poner salarios de inges</t>
  </si>
  <si>
    <t>Ingenierio David</t>
  </si>
  <si>
    <t>Ingenierio Luis</t>
  </si>
  <si>
    <t>Ingeniero Andres</t>
  </si>
  <si>
    <t>Ingeniero Johan</t>
  </si>
  <si>
    <t>Operario CNC</t>
  </si>
  <si>
    <t>Trimac Cure Oven</t>
  </si>
  <si>
    <t>Power and Free Conveyor</t>
  </si>
  <si>
    <t>Bancos de Trabajo</t>
  </si>
  <si>
    <t>Airconveyor para ensamble</t>
  </si>
  <si>
    <t>Sensor de presencia (Para buffer) Q45BB6LV</t>
  </si>
  <si>
    <t>Costo Unitario</t>
  </si>
  <si>
    <t>Electro válvula 5/2 VUVG-B10-T32C-AZT-F-1T1L</t>
  </si>
  <si>
    <t>Costo Unitario en Dólares</t>
  </si>
  <si>
    <t>Sensores de Conteo Q60BB6AFV1000QPMA</t>
  </si>
  <si>
    <t>COP/USD</t>
  </si>
  <si>
    <t>Computadores de escritorio</t>
  </si>
  <si>
    <t>Escritorios de oficina</t>
  </si>
  <si>
    <t>Herramienta</t>
  </si>
  <si>
    <t>Categoria</t>
  </si>
  <si>
    <t>Precio (USD)</t>
  </si>
  <si>
    <t>Llaves Allen (1.5���mm a 10���mm)</t>
  </si>
  <si>
    <t>Mecanica</t>
  </si>
  <si>
    <t>Llaves Torx</t>
  </si>
  <si>
    <t>Llaves combinadas y de vaso</t>
  </si>
  <si>
    <t>Llave de pedal</t>
  </si>
  <si>
    <t>Llave de direccion</t>
  </si>
  <si>
    <t>Llave para radios / centrado de ruedas</t>
  </si>
  <si>
    <t>Cortacadena y remachador</t>
  </si>
  <si>
    <t>Cortacables y pelacables</t>
  </si>
  <si>
    <t>Destornilladores (planos y estrella)</t>
  </si>
  <si>
    <t>Llave de torque con puntas</t>
  </si>
  <si>
    <t>Martillo de goma</t>
  </si>
  <si>
    <t>Alicates varios</t>
  </si>
  <si>
    <t>Multimetro digital</t>
  </si>
  <si>
    <t>El��ctrica</t>
  </si>
  <si>
    <t>Tester de bateria (BMS)</t>
  </si>
  <si>
    <t>Estacion de soldadura</t>
  </si>
  <si>
    <t>Pelacables automatico</t>
  </si>
  <si>
    <t>Termocontraible + pistola de calor</t>
  </si>
  <si>
    <t>Crimpadora de terminales</t>
  </si>
  <si>
    <t>Verificador de sensores</t>
  </si>
  <si>
    <t>Probador de controladores</t>
  </si>
  <si>
    <t>Calibrador (vernier digital)</t>
  </si>
  <si>
    <t>Calibracion</t>
  </si>
  <si>
    <t>Nivel de burbuja o laser</t>
  </si>
  <si>
    <t>Llave dinamom��trica digital</t>
  </si>
  <si>
    <t>Reglas y escuadras</t>
  </si>
  <si>
    <t>Plantilla de alineacion de punteras</t>
  </si>
  <si>
    <t>Herramienta de alineacion de discos</t>
  </si>
  <si>
    <t>Guantes antiestaticos o mecanicos</t>
  </si>
  <si>
    <t>Seguridad</t>
  </si>
  <si>
    <t>Gafas de seguridad</t>
  </si>
  <si>
    <t>Limpiador diel��ctrico</t>
  </si>
  <si>
    <t>Jabon desengrasante</t>
  </si>
  <si>
    <t>Aire comprimido o soplador el��ctrico</t>
  </si>
  <si>
    <t>Banco de trabajo con prensa</t>
  </si>
  <si>
    <t>Prensa manual o hidraulica</t>
  </si>
  <si>
    <t>Carro de herramientas rodante</t>
  </si>
  <si>
    <t>Industrial</t>
  </si>
  <si>
    <t>Estacion de montaje ajustable</t>
  </si>
  <si>
    <t>Kit de herramientas duplicado</t>
  </si>
  <si>
    <t>Sistema de etiquetado de cables</t>
  </si>
  <si>
    <t>Software/escaner diagnostico e-bike</t>
  </si>
  <si>
    <t>Herramientas de Tecnicos de Ensamblaje de E-Bikes</t>
  </si>
  <si>
    <t xml:space="preserve">Monta cargas </t>
  </si>
  <si>
    <t>Transpaletas Hidraulicas</t>
  </si>
  <si>
    <t>Carros de Plataforma</t>
  </si>
  <si>
    <t>Rampas niveladoras</t>
  </si>
  <si>
    <t>Monitor de montaje universal y pantalla táctil de 22”</t>
  </si>
  <si>
    <t>Arriendo Bodega 3800 m^2</t>
  </si>
  <si>
    <t>Costo de Agua</t>
  </si>
  <si>
    <t>Internet</t>
  </si>
  <si>
    <t>Operario 1 Sección 1</t>
  </si>
  <si>
    <t>Operario 2 Sección 1</t>
  </si>
  <si>
    <t>Operario 1 Celda Robotizada</t>
  </si>
  <si>
    <t>Operario 2 Celda Robotizada</t>
  </si>
  <si>
    <t>Operario 3 Celda Robotizada</t>
  </si>
  <si>
    <t>Tecnico de ensamblaje 1 Sección 2</t>
  </si>
  <si>
    <t>Tecnico de ensamblaje 2 Sección 2</t>
  </si>
  <si>
    <t>Tecnico de ensamblaje 3 Sección 2</t>
  </si>
  <si>
    <t>Tecnico de ensamblaje 4 Sección 2</t>
  </si>
  <si>
    <t>Tecnico de ensamblaje 5 Sección 2</t>
  </si>
  <si>
    <t>Tecnico de ensamblaje 6 Sección 2</t>
  </si>
  <si>
    <t>Tecnico de ensamblaje 7 Sección 2</t>
  </si>
  <si>
    <t>Tecnico de ensamblaje 8 Sección 2</t>
  </si>
  <si>
    <t>Tecnico de ensamblaje 9 Sección 2</t>
  </si>
  <si>
    <t>Tecnico de ensamblaje 10 Sección 2</t>
  </si>
  <si>
    <t>Tecnico de ensamblaje 11 Sección 2</t>
  </si>
  <si>
    <t>Tecnico de ensamblaje 12 Sección 2</t>
  </si>
  <si>
    <t>Operador 1 de Montacargas</t>
  </si>
  <si>
    <t>Operador 2 de Montacargas</t>
  </si>
  <si>
    <t>Personal de Aseo 1</t>
  </si>
  <si>
    <t>Personal de Aseo 2</t>
  </si>
  <si>
    <t>Seguridad Privada</t>
  </si>
  <si>
    <t>https://alarmar.com.co/tarifas-vigentes-seguridad-privada-2025/?utm_source=chatgpt.com</t>
  </si>
  <si>
    <t>Nomina</t>
  </si>
  <si>
    <t>PLC SIEMENS S1200</t>
  </si>
  <si>
    <t>PLC CompactLogix 5330</t>
  </si>
  <si>
    <t>Tunel de Pintura electrostatica</t>
  </si>
  <si>
    <t>Hosting Pagina Web</t>
  </si>
  <si>
    <t>Robot CRX-25iA</t>
  </si>
  <si>
    <t>R30iB mini controller</t>
  </si>
  <si>
    <t>Cerca de 10x2 metros</t>
  </si>
  <si>
    <t>Vehiculo AGV XBOT-AGV600YK</t>
  </si>
  <si>
    <t>Vehiculo AGV Zhejiang Caroon 5T</t>
  </si>
  <si>
    <t>Robot Track ABB IRBT 6004</t>
  </si>
  <si>
    <t>Holland Hub Filling</t>
  </si>
  <si>
    <t xml:space="preserve">Holland Inline Lacing </t>
  </si>
  <si>
    <t>Holland Robot Quattro</t>
  </si>
  <si>
    <t xml:space="preserve">Holland Tyre Mounting Console </t>
  </si>
  <si>
    <t>Tablero eléctrico celda</t>
  </si>
  <si>
    <t>Riel de alimentación Robot Quattro</t>
  </si>
  <si>
    <t>Herramienta efector final</t>
  </si>
  <si>
    <t>Lavadora de Tunel</t>
  </si>
  <si>
    <t>Pais de Origin</t>
  </si>
  <si>
    <t>Italia</t>
  </si>
  <si>
    <t>Alemania</t>
  </si>
  <si>
    <t>Paises Bajos</t>
  </si>
  <si>
    <t>Colombia</t>
  </si>
  <si>
    <t>USA</t>
  </si>
  <si>
    <t>China</t>
  </si>
  <si>
    <t>No</t>
  </si>
  <si>
    <t>Costo Unitario (COP)</t>
  </si>
  <si>
    <t>Origen</t>
  </si>
  <si>
    <t>Flete 10%</t>
  </si>
  <si>
    <t>Arancel 5%</t>
  </si>
  <si>
    <t>Tasa Adu. 1%</t>
  </si>
  <si>
    <t>Nacionaliz. 0.5%</t>
  </si>
  <si>
    <t>IVA 19%</t>
  </si>
  <si>
    <t>Instalación 5%</t>
  </si>
  <si>
    <t>Costo Unitario Total</t>
  </si>
  <si>
    <t>Lavadora de Túnel</t>
  </si>
  <si>
    <t>Air-conveyor para ensamble</t>
  </si>
  <si>
    <t>Países Bajos</t>
  </si>
  <si>
    <t>Sensor de presencia Q45BB6LV</t>
  </si>
  <si>
    <t>Electroválvula VUVG-B10-T32C-AZT-F-1T1L</t>
  </si>
  <si>
    <t>Monitor + pantalla táctil 22″</t>
  </si>
  <si>
    <t>Herramientas técnicos E-Bikes</t>
  </si>
  <si>
    <t>Montacargas</t>
  </si>
  <si>
    <t>Transpaletas hidráulicas</t>
  </si>
  <si>
    <t>Carros de plataforma</t>
  </si>
  <si>
    <t>PLC Siemens S1200</t>
  </si>
  <si>
    <t>Túnel de pintura electrostática</t>
  </si>
  <si>
    <t>R-30iB mini controller</t>
  </si>
  <si>
    <t>Cerca 10×2 m</t>
  </si>
  <si>
    <t>AGV XBOT-AGV600YK</t>
  </si>
  <si>
    <t>AGV Zhejiang Caroon 5T</t>
  </si>
  <si>
    <t>Holland Inline Lacing</t>
  </si>
  <si>
    <t>Holland Tyre Mounting Console</t>
  </si>
  <si>
    <t>Riel alimentación Robot Quattro</t>
  </si>
  <si>
    <t>TOTAL COSTO DE LA NOMINA DE UN TURNO</t>
  </si>
  <si>
    <t>TOTAL COSTO DE LA NOMINA DE DOS TURNOS</t>
  </si>
  <si>
    <t>Motor Bafang BBSHD 1000 W (reacondicionado)</t>
  </si>
  <si>
    <t>Batería 48V × 17.5Ah (genérica)</t>
  </si>
  <si>
    <t>Pantalla LCD DPC-18 compatible</t>
  </si>
  <si>
    <t>Controlador Bafang 30A (usado)</t>
  </si>
  <si>
    <t>Horquilla económica de suspensión</t>
  </si>
  <si>
    <t>Cambio Shimano Tourney 7v</t>
  </si>
  <si>
    <t>Cadena genérica 7/8v</t>
  </si>
  <si>
    <t>Manillar + stem genérico</t>
  </si>
  <si>
    <t>Pedales plásticos reforzados</t>
  </si>
  <si>
    <t>Sillín básico acolchado</t>
  </si>
  <si>
    <t>Tija de sillín aluminio básica</t>
  </si>
  <si>
    <t>Crankset genérico 36T</t>
  </si>
  <si>
    <t>Cassette 7v 14–28T</t>
  </si>
  <si>
    <t>Luces LED básicas (del + tras)</t>
  </si>
  <si>
    <t>Kickstand lateral económico</t>
  </si>
  <si>
    <t>Cableado básico y conectores</t>
  </si>
  <si>
    <t xml:space="preserve">Aros doble pared aluminio </t>
  </si>
  <si>
    <t>Neumáticos fat 26×4.5” genéricos</t>
  </si>
  <si>
    <t>Frenos hidráulicos genéricos</t>
  </si>
  <si>
    <t>Cuadro cargo tipo longtail (acero/aluminio)</t>
  </si>
  <si>
    <t>Motor hub trasero 500–750W</t>
  </si>
  <si>
    <t>Controlador 36–48V 22A</t>
  </si>
  <si>
    <t>Pantalla LCD simple (PAS control)</t>
  </si>
  <si>
    <t>Batería 48V 13Ah (genérica)</t>
  </si>
  <si>
    <t>Cambio Shimano Tourney 7v + shifter</t>
  </si>
  <si>
    <t>Cassette 14–28T 7v</t>
  </si>
  <si>
    <t>Cadena 7/8v básica</t>
  </si>
  <si>
    <t>Horquilla rígida 26”</t>
  </si>
  <si>
    <t>Manillar + stem económicos</t>
  </si>
  <si>
    <t>Tija + sillín urbano</t>
  </si>
  <si>
    <t>Soporte central doble (kickstand)</t>
  </si>
  <si>
    <t>Luces LED delantera y trasera</t>
  </si>
  <si>
    <t>Cableado, conectores y arnés básico</t>
  </si>
  <si>
    <t xml:space="preserve">Parrilla trasera de carga </t>
  </si>
  <si>
    <t>Guardabarros plásticos</t>
  </si>
  <si>
    <t>Llantas doble pared 26”</t>
  </si>
  <si>
    <t>Neumáticos 26x2.35 reforzados</t>
  </si>
  <si>
    <t>Frenos de disco mecánicos</t>
  </si>
  <si>
    <t>Mountain E-Bike</t>
  </si>
  <si>
    <t>Mountain E-Bike Plus</t>
  </si>
  <si>
    <t>Soporte</t>
  </si>
  <si>
    <t>Precio de Venta</t>
  </si>
  <si>
    <t xml:space="preserve">Costos Materia Prima Mountain E-Bike </t>
  </si>
  <si>
    <t>Costos Materia Prima Mountain E-Bike Plus</t>
  </si>
  <si>
    <t>Costos Materia Prima Cargo E-Bike</t>
  </si>
  <si>
    <t>215 gramos de pintura electrostatica</t>
  </si>
  <si>
    <t>Unidades en masa</t>
  </si>
  <si>
    <t>Costo total de todas las unidades</t>
  </si>
  <si>
    <t>Costo total de todas las unidades USD</t>
  </si>
  <si>
    <t>Costo total de todas las unidades COP</t>
  </si>
  <si>
    <t>Costos de Marketing</t>
  </si>
  <si>
    <t>Año</t>
  </si>
  <si>
    <t>% Capacidad Utilizada</t>
  </si>
  <si>
    <t>Montaña (u)</t>
  </si>
  <si>
    <t>Precio Montaña ($)</t>
  </si>
  <si>
    <t>Ventas Montaña (M USD)</t>
  </si>
  <si>
    <t>Montaña Plus (u)</t>
  </si>
  <si>
    <t>Precio Plus ($)</t>
  </si>
  <si>
    <t>Ventas Plus (M USD)</t>
  </si>
  <si>
    <t>Cargo (u)</t>
  </si>
  <si>
    <t>Precio Cargo ($)</t>
  </si>
  <si>
    <t>Ventas Cargo (M USD)</t>
  </si>
  <si>
    <t>Total Ventas (M USD)</t>
  </si>
  <si>
    <t>Total Ventas COP</t>
  </si>
  <si>
    <t>Tabla de adquisiciones iniciales</t>
  </si>
  <si>
    <t xml:space="preserve">Tabla de costos de producción </t>
  </si>
  <si>
    <t>Ingresos Operativos</t>
  </si>
  <si>
    <t>Costos de Producción</t>
  </si>
  <si>
    <t>Flujo Acumulado</t>
  </si>
  <si>
    <t>Depreciación</t>
  </si>
  <si>
    <t>ICA</t>
  </si>
  <si>
    <t>CAPEX inicial</t>
  </si>
  <si>
    <t>Vida útil (años)</t>
  </si>
  <si>
    <t>Tasa CIT</t>
  </si>
  <si>
    <t>Tasa ICA</t>
  </si>
  <si>
    <t>CAPEX</t>
  </si>
  <si>
    <t>EBIT</t>
  </si>
  <si>
    <t>CIT</t>
  </si>
  <si>
    <t>NOPLAT</t>
  </si>
  <si>
    <t>FCF</t>
  </si>
  <si>
    <t>Métricas de Evaluación</t>
  </si>
  <si>
    <t>TIR (IRR)</t>
  </si>
  <si>
    <t>ROI</t>
  </si>
  <si>
    <t>Tasa de descuento (WACC)</t>
  </si>
  <si>
    <t>Costo de la Inversión</t>
  </si>
  <si>
    <t>Unidades Totales</t>
  </si>
  <si>
    <t>E-Bike M+</t>
  </si>
  <si>
    <t>E-Bike M</t>
  </si>
  <si>
    <t>Cargo E-Bike</t>
  </si>
  <si>
    <t>Porcion</t>
  </si>
  <si>
    <t>AÑO6</t>
  </si>
  <si>
    <t>VPN</t>
  </si>
  <si>
    <t>Periodo ultimo acumulado negativo</t>
  </si>
  <si>
    <t xml:space="preserve"> Valor Periodo ultimo acumulado negativo</t>
  </si>
  <si>
    <t>FC neto siguiente periodo</t>
  </si>
  <si>
    <t>PAYBACK</t>
  </si>
  <si>
    <t>Activo / Empresa</t>
  </si>
  <si>
    <t>VPN (COP)</t>
  </si>
  <si>
    <t>TIR</t>
  </si>
  <si>
    <t>ROI anual</t>
  </si>
  <si>
    <t>PAYBACK (años)</t>
  </si>
  <si>
    <t>Tasa de Descuento</t>
  </si>
  <si>
    <t>Notas / Fuente</t>
  </si>
  <si>
    <t>Microsoft (MSFT)</t>
  </si>
  <si>
    <t>128.11%</t>
  </si>
  <si>
    <t>15.00%</t>
  </si>
  <si>
    <t>15%</t>
  </si>
  <si>
    <t>CAGR estimado por retornos históricos.</t>
  </si>
  <si>
    <t>Apple (AAPL)</t>
  </si>
  <si>
    <t>130.1%</t>
  </si>
  <si>
    <t>16.00%</t>
  </si>
  <si>
    <t>ROI histórico con dividendos reinvertidos.</t>
  </si>
  <si>
    <t>Amazon (AMZN)</t>
  </si>
  <si>
    <t>126.13%</t>
  </si>
  <si>
    <t>14.00%</t>
  </si>
  <si>
    <t>Alta reinversión, baja distribución de dividendos.</t>
  </si>
  <si>
    <t>Meta (META)</t>
  </si>
  <si>
    <t>134.06%</t>
  </si>
  <si>
    <t>18.00%</t>
  </si>
  <si>
    <t>Alto crecimiento, ROI promedio.</t>
  </si>
  <si>
    <t>Nvidia (NVDA)</t>
  </si>
  <si>
    <t>142.0%</t>
  </si>
  <si>
    <t>22.00%</t>
  </si>
  <si>
    <t>Volátil, pero ROI alto histórico reciente.</t>
  </si>
  <si>
    <t>EE.UU. Treasury 10-años</t>
  </si>
  <si>
    <t>4.4%</t>
  </si>
  <si>
    <t>~4.4%</t>
  </si>
  <si>
    <t>~22.7</t>
  </si>
  <si>
    <t>VPN = 0 si se descuenta al mismo yield.</t>
  </si>
  <si>
    <t>Bonos UE 10-años</t>
  </si>
  <si>
    <t>3.2%</t>
  </si>
  <si>
    <t>~3.2%</t>
  </si>
  <si>
    <t>~31.3</t>
  </si>
  <si>
    <t>Bonos de Alemania/Francia como referencia.</t>
  </si>
  <si>
    <t>TES Colombia 10-años</t>
  </si>
  <si>
    <t>11.8%</t>
  </si>
  <si>
    <t>~11.8%</t>
  </si>
  <si>
    <t>~8.5</t>
  </si>
  <si>
    <t>Datos actuales para bonos colombianos.</t>
  </si>
  <si>
    <t>20%</t>
  </si>
  <si>
    <t>79% acumulado</t>
  </si>
  <si>
    <t>18%</t>
  </si>
  <si>
    <t>Datos reales. VAN positivo con tasa del 18%.</t>
  </si>
  <si>
    <t>The Rolling Volts</t>
  </si>
  <si>
    <t>Tabla de Flujo de Caja</t>
  </si>
  <si>
    <t>Tabla de Proyección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</si>
</sst>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  <numFmt numFmtId="166" formatCode="0.0000%"/>
    <numFmt numFmtId="167" formatCode="&quot;$&quot;\ #,##0.00"/>
    <numFmt numFmtId="168" formatCode="0.0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48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15" fontId="7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/>
    <xf numFmtId="0" fontId="11" fillId="0" borderId="2" xfId="0" applyFont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/>
    </xf>
    <xf numFmtId="0" fontId="10" fillId="0" borderId="8" xfId="0" applyFont="1" applyBorder="1"/>
    <xf numFmtId="166" fontId="10" fillId="0" borderId="16" xfId="0" applyNumberFormat="1" applyFont="1" applyBorder="1"/>
    <xf numFmtId="3" fontId="10" fillId="0" borderId="17" xfId="0" applyNumberFormat="1" applyFont="1" applyBorder="1"/>
    <xf numFmtId="3" fontId="10" fillId="0" borderId="18" xfId="0" applyNumberFormat="1" applyFont="1" applyBorder="1"/>
    <xf numFmtId="0" fontId="10" fillId="0" borderId="19" xfId="0" applyFont="1" applyBorder="1"/>
    <xf numFmtId="166" fontId="10" fillId="0" borderId="6" xfId="0" applyNumberFormat="1" applyFont="1" applyBorder="1"/>
    <xf numFmtId="3" fontId="10" fillId="0" borderId="2" xfId="0" applyNumberFormat="1" applyFont="1" applyBorder="1"/>
    <xf numFmtId="3" fontId="10" fillId="0" borderId="20" xfId="0" applyNumberFormat="1" applyFont="1" applyBorder="1"/>
    <xf numFmtId="0" fontId="10" fillId="0" borderId="21" xfId="0" applyFont="1" applyBorder="1" applyAlignment="1">
      <alignment horizontal="center"/>
    </xf>
    <xf numFmtId="9" fontId="10" fillId="0" borderId="22" xfId="0" applyNumberFormat="1" applyFont="1" applyBorder="1"/>
    <xf numFmtId="3" fontId="10" fillId="0" borderId="14" xfId="0" applyNumberFormat="1" applyFont="1" applyBorder="1"/>
    <xf numFmtId="0" fontId="10" fillId="0" borderId="14" xfId="0" applyFont="1" applyBorder="1"/>
    <xf numFmtId="3" fontId="10" fillId="0" borderId="23" xfId="0" applyNumberFormat="1" applyFont="1" applyBorder="1"/>
    <xf numFmtId="0" fontId="4" fillId="0" borderId="4" xfId="0" applyFont="1" applyBorder="1"/>
    <xf numFmtId="0" fontId="4" fillId="0" borderId="6" xfId="0" applyFont="1" applyBorder="1"/>
    <xf numFmtId="3" fontId="4" fillId="0" borderId="2" xfId="0" applyNumberFormat="1" applyFont="1" applyBorder="1"/>
    <xf numFmtId="44" fontId="0" fillId="0" borderId="0" xfId="1" applyFont="1"/>
    <xf numFmtId="164" fontId="0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7" fontId="2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165" fontId="14" fillId="0" borderId="0" xfId="2" applyNumberForma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165" fontId="2" fillId="0" borderId="1" xfId="0" applyNumberFormat="1" applyFont="1" applyBorder="1" applyAlignment="1">
      <alignment horizontal="center" vertical="top"/>
    </xf>
    <xf numFmtId="165" fontId="2" fillId="0" borderId="24" xfId="0" applyNumberFormat="1" applyFont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horizontal="center"/>
    </xf>
    <xf numFmtId="4" fontId="0" fillId="0" borderId="0" xfId="0" applyNumberFormat="1"/>
    <xf numFmtId="10" fontId="0" fillId="0" borderId="0" xfId="0" applyNumberFormat="1"/>
    <xf numFmtId="164" fontId="15" fillId="0" borderId="0" xfId="1" applyNumberFormat="1" applyFont="1"/>
    <xf numFmtId="164" fontId="15" fillId="0" borderId="0" xfId="1" applyNumberFormat="1" applyFont="1" applyAlignment="1">
      <alignment horizontal="center"/>
    </xf>
    <xf numFmtId="1" fontId="0" fillId="0" borderId="0" xfId="1" applyNumberFormat="1" applyFont="1"/>
    <xf numFmtId="9" fontId="0" fillId="0" borderId="0" xfId="3" applyFont="1"/>
    <xf numFmtId="1" fontId="0" fillId="0" borderId="0" xfId="3" applyNumberFormat="1" applyFont="1"/>
    <xf numFmtId="168" fontId="0" fillId="0" borderId="0" xfId="3" applyNumberFormat="1" applyFon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9" fillId="0" borderId="13" xfId="0" applyFont="1" applyBorder="1"/>
    <xf numFmtId="0" fontId="7" fillId="0" borderId="4" xfId="0" applyFont="1" applyBorder="1" applyAlignment="1">
      <alignment horizontal="center"/>
    </xf>
    <xf numFmtId="0" fontId="9" fillId="0" borderId="6" xfId="0" applyFont="1" applyBorder="1"/>
    <xf numFmtId="0" fontId="7" fillId="0" borderId="12" xfId="0" applyFont="1" applyBorder="1" applyAlignment="1">
      <alignment horizontal="center" vertical="center"/>
    </xf>
    <xf numFmtId="0" fontId="9" fillId="0" borderId="15" xfId="0" applyFont="1" applyBorder="1"/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9" fillId="0" borderId="7" xfId="0" applyFont="1" applyBorder="1"/>
    <xf numFmtId="0" fontId="9" fillId="0" borderId="5" xfId="0" applyFont="1" applyBorder="1"/>
    <xf numFmtId="0" fontId="12" fillId="0" borderId="8" xfId="0" applyFont="1" applyBorder="1" applyAlignment="1">
      <alignment horizontal="center" vertical="center"/>
    </xf>
    <xf numFmtId="0" fontId="9" fillId="0" borderId="9" xfId="0" applyFont="1" applyBorder="1"/>
    <xf numFmtId="0" fontId="9" fillId="0" borderId="10" xfId="0" applyFont="1" applyBorder="1"/>
    <xf numFmtId="0" fontId="0" fillId="0" borderId="25" xfId="0" applyBorder="1" applyAlignment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EF80-CAB2-4835-9DF4-1A8806EA81BC}">
  <dimension ref="A1:K14"/>
  <sheetViews>
    <sheetView topLeftCell="D1" workbookViewId="0">
      <selection activeCell="D29" sqref="D29"/>
    </sheetView>
  </sheetViews>
  <sheetFormatPr baseColWidth="10" defaultRowHeight="15" x14ac:dyDescent="0.25"/>
  <cols>
    <col min="2" max="2" width="17.5703125" bestFit="1" customWidth="1"/>
    <col min="4" max="4" width="42" bestFit="1" customWidth="1"/>
    <col min="5" max="5" width="16.28515625" style="52" bestFit="1" customWidth="1"/>
    <col min="6" max="11" width="19.28515625" bestFit="1" customWidth="1"/>
  </cols>
  <sheetData>
    <row r="1" spans="1:11" x14ac:dyDescent="0.25">
      <c r="D1" s="71" t="s">
        <v>261</v>
      </c>
      <c r="E1" s="71"/>
      <c r="F1" s="71"/>
      <c r="G1" s="71"/>
      <c r="H1" s="71"/>
      <c r="I1" s="71"/>
      <c r="J1" s="71"/>
    </row>
    <row r="2" spans="1:11" x14ac:dyDescent="0.25">
      <c r="D2" s="55" t="s">
        <v>8</v>
      </c>
      <c r="E2" s="56" t="s">
        <v>9</v>
      </c>
      <c r="F2" s="55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286</v>
      </c>
    </row>
    <row r="3" spans="1:11" x14ac:dyDescent="0.25">
      <c r="D3" t="s">
        <v>113</v>
      </c>
      <c r="E3" s="50">
        <f>96120000</f>
        <v>96120000</v>
      </c>
      <c r="F3" s="7">
        <f t="shared" ref="F3:F9" si="0">E3*12</f>
        <v>1153440000</v>
      </c>
      <c r="G3" s="7">
        <f>F3+F3*0.04</f>
        <v>1199577600</v>
      </c>
      <c r="H3" s="7">
        <f>G3+G3*0.04</f>
        <v>1247560704</v>
      </c>
      <c r="I3" s="7">
        <f>H3+H3*0.04</f>
        <v>1297463132.1600001</v>
      </c>
      <c r="J3" s="7">
        <f>I3+I3*0.04</f>
        <v>1349361657.4464002</v>
      </c>
      <c r="K3" s="7">
        <f>J3+J3*0.04</f>
        <v>1403336123.7442563</v>
      </c>
    </row>
    <row r="4" spans="1:11" x14ac:dyDescent="0.25">
      <c r="D4" t="s">
        <v>6</v>
      </c>
      <c r="E4" s="50">
        <v>46691840</v>
      </c>
      <c r="F4" s="7">
        <f t="shared" si="0"/>
        <v>560302080</v>
      </c>
      <c r="G4" s="7">
        <f t="shared" ref="G4:H13" si="1">F4+F4*0.04</f>
        <v>582714163.20000005</v>
      </c>
      <c r="H4" s="7">
        <f t="shared" si="1"/>
        <v>606022729.72800004</v>
      </c>
      <c r="I4" s="7">
        <f t="shared" ref="I4:J4" si="2">H4+H4*0.04</f>
        <v>630263638.9171201</v>
      </c>
      <c r="J4" s="7">
        <f t="shared" si="2"/>
        <v>655474184.47380495</v>
      </c>
      <c r="K4" s="7">
        <f t="shared" ref="K4" si="3">J4+J4*0.04</f>
        <v>681693151.8527571</v>
      </c>
    </row>
    <row r="5" spans="1:11" x14ac:dyDescent="0.25">
      <c r="D5" t="s">
        <v>114</v>
      </c>
      <c r="E5" s="52">
        <v>2000000</v>
      </c>
      <c r="F5" s="7">
        <f t="shared" si="0"/>
        <v>24000000</v>
      </c>
      <c r="G5" s="7">
        <f t="shared" si="1"/>
        <v>24960000</v>
      </c>
      <c r="H5" s="7">
        <f t="shared" si="1"/>
        <v>25958400</v>
      </c>
      <c r="I5" s="7">
        <f t="shared" ref="I5:J5" si="4">H5+H5*0.04</f>
        <v>26996736</v>
      </c>
      <c r="J5" s="7">
        <f t="shared" si="4"/>
        <v>28076605.440000001</v>
      </c>
      <c r="K5" s="7">
        <f t="shared" ref="K5" si="5">J5+J5*0.04</f>
        <v>29199669.657600001</v>
      </c>
    </row>
    <row r="6" spans="1:11" x14ac:dyDescent="0.25">
      <c r="D6" t="s">
        <v>115</v>
      </c>
      <c r="E6" s="50">
        <v>1500000</v>
      </c>
      <c r="F6" s="7">
        <f t="shared" si="0"/>
        <v>18000000</v>
      </c>
      <c r="G6" s="7">
        <f t="shared" si="1"/>
        <v>18720000</v>
      </c>
      <c r="H6" s="7">
        <f t="shared" si="1"/>
        <v>19468800</v>
      </c>
      <c r="I6" s="7">
        <f t="shared" ref="I6:J6" si="6">H6+H6*0.04</f>
        <v>20247552</v>
      </c>
      <c r="J6" s="7">
        <f t="shared" si="6"/>
        <v>21057454.079999998</v>
      </c>
      <c r="K6" s="7">
        <f t="shared" ref="K6" si="7">J6+J6*0.04</f>
        <v>21899752.243199997</v>
      </c>
    </row>
    <row r="7" spans="1:11" x14ac:dyDescent="0.25">
      <c r="A7" t="s">
        <v>138</v>
      </c>
      <c r="D7" t="s">
        <v>137</v>
      </c>
      <c r="E7" s="50">
        <v>48000000</v>
      </c>
      <c r="F7" s="7">
        <f t="shared" si="0"/>
        <v>576000000</v>
      </c>
      <c r="G7" s="7">
        <f t="shared" si="1"/>
        <v>599040000</v>
      </c>
      <c r="H7" s="7">
        <f t="shared" si="1"/>
        <v>623001600</v>
      </c>
      <c r="I7" s="7">
        <f t="shared" ref="I7:J7" si="8">H7+H7*0.04</f>
        <v>647921664</v>
      </c>
      <c r="J7" s="7">
        <f t="shared" si="8"/>
        <v>673838530.55999994</v>
      </c>
      <c r="K7" s="7">
        <f t="shared" ref="K7" si="9">J7+J7*0.04</f>
        <v>700792071.78239989</v>
      </c>
    </row>
    <row r="8" spans="1:11" x14ac:dyDescent="0.25">
      <c r="D8" t="s">
        <v>139</v>
      </c>
      <c r="E8" s="50">
        <f>Nomina!F50*2</f>
        <v>164235737.51359999</v>
      </c>
      <c r="F8" s="7">
        <f t="shared" si="0"/>
        <v>1970828850.1631999</v>
      </c>
      <c r="G8" s="7">
        <f t="shared" si="1"/>
        <v>2049662004.1697278</v>
      </c>
      <c r="H8" s="7">
        <f t="shared" si="1"/>
        <v>2131648484.3365169</v>
      </c>
      <c r="I8" s="7">
        <f t="shared" ref="I8:J8" si="10">H8+H8*0.04</f>
        <v>2216914423.7099776</v>
      </c>
      <c r="J8" s="7">
        <f t="shared" si="10"/>
        <v>2305591000.6583767</v>
      </c>
      <c r="K8" s="7">
        <f t="shared" ref="K8" si="11">J8+J8*0.04</f>
        <v>2397814640.6847119</v>
      </c>
    </row>
    <row r="9" spans="1:11" x14ac:dyDescent="0.25">
      <c r="D9" t="s">
        <v>143</v>
      </c>
      <c r="E9" s="50">
        <v>100000</v>
      </c>
      <c r="F9" s="7">
        <f t="shared" si="0"/>
        <v>1200000</v>
      </c>
      <c r="G9" s="7">
        <f t="shared" si="1"/>
        <v>1248000</v>
      </c>
      <c r="H9" s="7">
        <f t="shared" si="1"/>
        <v>1297920</v>
      </c>
      <c r="I9" s="7">
        <f t="shared" ref="I9:J9" si="12">H9+H9*0.04</f>
        <v>1349836.8</v>
      </c>
      <c r="J9" s="7">
        <f t="shared" si="12"/>
        <v>1403830.2720000001</v>
      </c>
      <c r="K9" s="7">
        <f t="shared" ref="K9" si="13">J9+J9*0.04</f>
        <v>1459983.48288</v>
      </c>
    </row>
    <row r="10" spans="1:11" x14ac:dyDescent="0.25">
      <c r="D10" t="s">
        <v>238</v>
      </c>
      <c r="E10" s="52">
        <f>F10/12</f>
        <v>49768992000</v>
      </c>
      <c r="F10" s="52">
        <f>'Costos Materia Prima Biciletas'!E29</f>
        <v>597227904000</v>
      </c>
      <c r="G10" s="7">
        <f t="shared" si="1"/>
        <v>621117020160</v>
      </c>
      <c r="H10" s="7">
        <f t="shared" si="1"/>
        <v>645961700966.40002</v>
      </c>
      <c r="I10" s="7">
        <f t="shared" ref="I10:J10" si="14">H10+H10*0.04</f>
        <v>671800169005.05603</v>
      </c>
      <c r="J10" s="7">
        <f t="shared" si="14"/>
        <v>698672175765.2583</v>
      </c>
      <c r="K10" s="7">
        <f t="shared" ref="K10" si="15">J10+J10*0.04</f>
        <v>726619062795.86865</v>
      </c>
    </row>
    <row r="11" spans="1:11" x14ac:dyDescent="0.25">
      <c r="D11" t="s">
        <v>239</v>
      </c>
      <c r="E11" s="52">
        <f t="shared" ref="E11:E12" si="16">F11/12</f>
        <v>33316920000</v>
      </c>
      <c r="F11" s="7">
        <f>'Costos Materia Prima Biciletas'!L30</f>
        <v>399803040000</v>
      </c>
      <c r="G11" s="7">
        <f t="shared" si="1"/>
        <v>415795161600</v>
      </c>
      <c r="H11" s="7">
        <f t="shared" si="1"/>
        <v>432426968064</v>
      </c>
      <c r="I11" s="7">
        <f t="shared" ref="I11:J11" si="17">H11+H11*0.04</f>
        <v>449724046786.56</v>
      </c>
      <c r="J11" s="7">
        <f t="shared" si="17"/>
        <v>467713008658.0224</v>
      </c>
      <c r="K11" s="7">
        <f t="shared" ref="K11" si="18">J11+J11*0.04</f>
        <v>486421529004.34332</v>
      </c>
    </row>
    <row r="12" spans="1:11" x14ac:dyDescent="0.25">
      <c r="D12" t="s">
        <v>240</v>
      </c>
      <c r="E12" s="52">
        <f t="shared" si="16"/>
        <v>34776378000</v>
      </c>
      <c r="F12" s="7">
        <f>'Costos Materia Prima Biciletas'!R30</f>
        <v>417316536000</v>
      </c>
      <c r="G12" s="7">
        <f t="shared" si="1"/>
        <v>434009197440</v>
      </c>
      <c r="H12" s="7">
        <f t="shared" si="1"/>
        <v>451369565337.59998</v>
      </c>
      <c r="I12" s="7">
        <f t="shared" ref="I12:J12" si="19">H12+H12*0.04</f>
        <v>469424347951.104</v>
      </c>
      <c r="J12" s="7">
        <f t="shared" si="19"/>
        <v>488201321869.14819</v>
      </c>
      <c r="K12" s="7">
        <f t="shared" ref="K12" si="20">J12+J12*0.04</f>
        <v>507729374743.91412</v>
      </c>
    </row>
    <row r="13" spans="1:11" x14ac:dyDescent="0.25">
      <c r="D13" t="s">
        <v>246</v>
      </c>
      <c r="E13" s="52">
        <f>0.05*E12</f>
        <v>1738818900</v>
      </c>
      <c r="F13" s="52">
        <f>0.05*F12</f>
        <v>20865826800</v>
      </c>
      <c r="G13" s="7">
        <f t="shared" si="1"/>
        <v>21700459872</v>
      </c>
      <c r="H13" s="7">
        <f t="shared" si="1"/>
        <v>22568478266.880001</v>
      </c>
      <c r="I13" s="7">
        <f t="shared" ref="I13:J13" si="21">H13+H13*0.04</f>
        <v>23471217397.555202</v>
      </c>
      <c r="J13" s="7">
        <f t="shared" si="21"/>
        <v>24410066093.457409</v>
      </c>
      <c r="K13" s="7">
        <f t="shared" ref="K13" si="22">J13+J13*0.04</f>
        <v>25386468737.195705</v>
      </c>
    </row>
    <row r="14" spans="1:11" x14ac:dyDescent="0.25">
      <c r="D14" s="57" t="s">
        <v>7</v>
      </c>
      <c r="E14" s="52">
        <f>SUM(E3:E13)</f>
        <v>119959756477.51361</v>
      </c>
      <c r="F14" s="7">
        <f>SUM(F3:F13)</f>
        <v>1439517077730.1631</v>
      </c>
      <c r="G14" s="7">
        <f t="shared" ref="G14:K14" si="23">SUM(G3:G13)</f>
        <v>1497097760839.3696</v>
      </c>
      <c r="H14" s="7">
        <f t="shared" si="23"/>
        <v>1556981671272.9443</v>
      </c>
      <c r="I14" s="7">
        <f t="shared" si="23"/>
        <v>1619260938123.8623</v>
      </c>
      <c r="J14" s="7">
        <f t="shared" si="23"/>
        <v>1684031375648.8169</v>
      </c>
      <c r="K14" s="7">
        <f t="shared" si="23"/>
        <v>1751392630674.7695</v>
      </c>
    </row>
  </sheetData>
  <mergeCells count="1">
    <mergeCell ref="D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D32C-8B14-4E41-AA72-1FA121A8AC9F}">
  <dimension ref="A1:K21"/>
  <sheetViews>
    <sheetView workbookViewId="0">
      <selection activeCell="F26" sqref="F26"/>
    </sheetView>
  </sheetViews>
  <sheetFormatPr baseColWidth="10" defaultRowHeight="15" x14ac:dyDescent="0.25"/>
  <cols>
    <col min="1" max="1" width="19.42578125" bestFit="1" customWidth="1"/>
    <col min="2" max="2" width="22" style="6" bestFit="1" customWidth="1"/>
    <col min="3" max="3" width="20" bestFit="1" customWidth="1"/>
    <col min="4" max="4" width="15.28515625" bestFit="1" customWidth="1"/>
    <col min="5" max="5" width="13.7109375" bestFit="1" customWidth="1"/>
    <col min="6" max="6" width="18.140625" bestFit="1" customWidth="1"/>
    <col min="7" max="7" width="17.42578125" bestFit="1" customWidth="1"/>
    <col min="8" max="8" width="16.42578125" bestFit="1" customWidth="1"/>
    <col min="9" max="10" width="18.140625" bestFit="1" customWidth="1"/>
    <col min="11" max="11" width="19" bestFit="1" customWidth="1"/>
  </cols>
  <sheetData>
    <row r="1" spans="1:11" x14ac:dyDescent="0.25">
      <c r="A1" s="60" t="s">
        <v>267</v>
      </c>
      <c r="B1" s="64" t="s">
        <v>268</v>
      </c>
      <c r="C1" s="60" t="s">
        <v>269</v>
      </c>
      <c r="D1" s="60" t="s">
        <v>270</v>
      </c>
      <c r="E1" s="60" t="s">
        <v>279</v>
      </c>
    </row>
    <row r="2" spans="1:11" x14ac:dyDescent="0.25">
      <c r="A2" s="40">
        <f>'Costos de Inversión Inicial'!N71</f>
        <v>5779001357</v>
      </c>
      <c r="B2" s="66">
        <v>10</v>
      </c>
      <c r="C2">
        <v>0.35</v>
      </c>
      <c r="D2">
        <v>6.8999999999999999E-3</v>
      </c>
      <c r="E2" s="63">
        <v>0.18</v>
      </c>
    </row>
    <row r="3" spans="1:11" x14ac:dyDescent="0.25">
      <c r="A3" s="74" t="s">
        <v>340</v>
      </c>
      <c r="B3" s="74"/>
      <c r="C3" s="74"/>
      <c r="D3" s="74"/>
      <c r="E3" s="74"/>
      <c r="F3" s="74"/>
      <c r="G3" s="74"/>
      <c r="H3" s="74"/>
      <c r="I3" s="74"/>
      <c r="J3" s="74"/>
      <c r="K3" s="74"/>
    </row>
    <row r="4" spans="1:11" x14ac:dyDescent="0.25">
      <c r="A4" s="61" t="s">
        <v>247</v>
      </c>
      <c r="B4" s="65" t="s">
        <v>262</v>
      </c>
      <c r="C4" s="61" t="s">
        <v>263</v>
      </c>
      <c r="D4" s="61" t="s">
        <v>271</v>
      </c>
      <c r="E4" s="61" t="s">
        <v>265</v>
      </c>
      <c r="F4" s="61" t="s">
        <v>272</v>
      </c>
      <c r="G4" s="61" t="s">
        <v>273</v>
      </c>
      <c r="H4" s="61" t="s">
        <v>266</v>
      </c>
      <c r="I4" s="61" t="s">
        <v>274</v>
      </c>
      <c r="J4" s="61" t="s">
        <v>275</v>
      </c>
      <c r="K4" s="61" t="s">
        <v>264</v>
      </c>
    </row>
    <row r="5" spans="1:11" x14ac:dyDescent="0.25">
      <c r="A5">
        <v>0</v>
      </c>
      <c r="B5" s="6">
        <v>0</v>
      </c>
      <c r="C5" s="62">
        <v>0</v>
      </c>
      <c r="D5" s="62">
        <f>A2</f>
        <v>5779001357</v>
      </c>
      <c r="E5" s="62">
        <v>0</v>
      </c>
      <c r="F5" s="62">
        <f t="shared" ref="F5:F10" si="0">B5-C5-E5</f>
        <v>0</v>
      </c>
      <c r="G5" s="62">
        <f t="shared" ref="G5:G10" si="1">IF(F5&gt;0, F5*C$2, 0)</f>
        <v>0</v>
      </c>
      <c r="H5" s="62">
        <f t="shared" ref="H5:H10" si="2">B5*D$2</f>
        <v>0</v>
      </c>
      <c r="I5" s="62">
        <f t="shared" ref="I5:I10" si="3">F5-G5-H5</f>
        <v>0</v>
      </c>
      <c r="J5" s="62">
        <f t="shared" ref="J5:J10" si="4">I5+E5-D5</f>
        <v>-5779001357</v>
      </c>
      <c r="K5" s="62">
        <f>J5</f>
        <v>-5779001357</v>
      </c>
    </row>
    <row r="6" spans="1:11" x14ac:dyDescent="0.25">
      <c r="A6">
        <v>1</v>
      </c>
      <c r="B6" s="6">
        <f>'Proyeccion de ventas'!M3</f>
        <v>1143330552000</v>
      </c>
      <c r="C6" s="62">
        <f>'Costos de Producción'!F14</f>
        <v>1439517077730.1631</v>
      </c>
      <c r="D6" s="62">
        <v>0</v>
      </c>
      <c r="E6" s="62">
        <f t="shared" ref="E6:E11" si="5">IF(B$2&gt;0, A$2/B$2, 0)</f>
        <v>577900135.70000005</v>
      </c>
      <c r="F6" s="62">
        <f t="shared" si="0"/>
        <v>-296764425865.8631</v>
      </c>
      <c r="G6" s="62">
        <f t="shared" si="1"/>
        <v>0</v>
      </c>
      <c r="H6" s="62">
        <f t="shared" si="2"/>
        <v>7888980808.8000002</v>
      </c>
      <c r="I6" s="62">
        <f t="shared" si="3"/>
        <v>-304653406674.66309</v>
      </c>
      <c r="J6" s="62">
        <f t="shared" si="4"/>
        <v>-304075506538.96307</v>
      </c>
      <c r="K6" s="62">
        <f t="shared" ref="K6:K11" si="6">J6+K5</f>
        <v>-309854507895.96307</v>
      </c>
    </row>
    <row r="7" spans="1:11" x14ac:dyDescent="0.25">
      <c r="A7">
        <v>2</v>
      </c>
      <c r="B7" s="6">
        <f>'Proyeccion de ventas'!M4</f>
        <v>1486365098400</v>
      </c>
      <c r="C7" s="62">
        <f>'Costos de Producción'!G14</f>
        <v>1497097760839.3696</v>
      </c>
      <c r="D7" s="62">
        <v>0</v>
      </c>
      <c r="E7" s="62">
        <f t="shared" si="5"/>
        <v>577900135.70000005</v>
      </c>
      <c r="F7" s="62">
        <f t="shared" si="0"/>
        <v>-11310562575.06963</v>
      </c>
      <c r="G7" s="62">
        <f t="shared" si="1"/>
        <v>0</v>
      </c>
      <c r="H7" s="62">
        <f t="shared" si="2"/>
        <v>10255919178.959999</v>
      </c>
      <c r="I7" s="62">
        <f t="shared" si="3"/>
        <v>-21566481754.029629</v>
      </c>
      <c r="J7" s="62">
        <f t="shared" si="4"/>
        <v>-20988581618.329628</v>
      </c>
      <c r="K7" s="62">
        <f t="shared" si="6"/>
        <v>-330843089514.29272</v>
      </c>
    </row>
    <row r="8" spans="1:11" x14ac:dyDescent="0.25">
      <c r="A8">
        <v>3</v>
      </c>
      <c r="B8" s="6">
        <f>'Proyeccion de ventas'!M5</f>
        <v>1855084159655.9998</v>
      </c>
      <c r="C8" s="62">
        <f>'Costos de Producción'!H14</f>
        <v>1556981671272.9443</v>
      </c>
      <c r="D8" s="62">
        <v>0</v>
      </c>
      <c r="E8" s="62">
        <f t="shared" si="5"/>
        <v>577900135.70000005</v>
      </c>
      <c r="F8" s="62">
        <f t="shared" si="0"/>
        <v>297524588247.35541</v>
      </c>
      <c r="G8" s="62">
        <f t="shared" si="1"/>
        <v>104133605886.57439</v>
      </c>
      <c r="H8" s="62">
        <f t="shared" si="2"/>
        <v>12800080701.626398</v>
      </c>
      <c r="I8" s="62">
        <f t="shared" si="3"/>
        <v>180590901659.1546</v>
      </c>
      <c r="J8" s="62">
        <f t="shared" si="4"/>
        <v>181168801794.85461</v>
      </c>
      <c r="K8" s="62">
        <f t="shared" si="6"/>
        <v>-149674287719.43811</v>
      </c>
    </row>
    <row r="9" spans="1:11" x14ac:dyDescent="0.25">
      <c r="A9">
        <v>4</v>
      </c>
      <c r="B9" s="6">
        <f>'Proyeccion de ventas'!M6</f>
        <v>2144127192480</v>
      </c>
      <c r="C9" s="62">
        <f>'Costos de Producción'!I14</f>
        <v>1619260938123.8623</v>
      </c>
      <c r="D9" s="62">
        <v>0</v>
      </c>
      <c r="E9" s="62">
        <f t="shared" si="5"/>
        <v>577900135.70000005</v>
      </c>
      <c r="F9" s="62">
        <f t="shared" si="0"/>
        <v>524288354220.43768</v>
      </c>
      <c r="G9" s="62">
        <f t="shared" si="1"/>
        <v>183500923977.15317</v>
      </c>
      <c r="H9" s="62">
        <f t="shared" si="2"/>
        <v>14794477628.112</v>
      </c>
      <c r="I9" s="62">
        <f t="shared" si="3"/>
        <v>325992952615.17255</v>
      </c>
      <c r="J9" s="62">
        <f t="shared" si="4"/>
        <v>326570852750.87256</v>
      </c>
      <c r="K9" s="62">
        <f t="shared" si="6"/>
        <v>176896565031.43445</v>
      </c>
    </row>
    <row r="10" spans="1:11" x14ac:dyDescent="0.25">
      <c r="A10">
        <v>5</v>
      </c>
      <c r="B10" s="6">
        <f>'Proyeccion de ventas'!M7</f>
        <v>2229695067600</v>
      </c>
      <c r="C10" s="62">
        <f>'Costos de Producción'!J14</f>
        <v>1684031375648.8169</v>
      </c>
      <c r="D10" s="62">
        <v>0</v>
      </c>
      <c r="E10" s="62">
        <f t="shared" si="5"/>
        <v>577900135.70000005</v>
      </c>
      <c r="F10" s="62">
        <f t="shared" si="0"/>
        <v>545085791815.48309</v>
      </c>
      <c r="G10" s="62">
        <f t="shared" si="1"/>
        <v>190780027135.41907</v>
      </c>
      <c r="H10" s="62">
        <f t="shared" si="2"/>
        <v>15384895966.440001</v>
      </c>
      <c r="I10" s="62">
        <f t="shared" si="3"/>
        <v>338920868713.62402</v>
      </c>
      <c r="J10" s="62">
        <f t="shared" si="4"/>
        <v>339498768849.32404</v>
      </c>
      <c r="K10" s="62">
        <f t="shared" si="6"/>
        <v>516395333880.75848</v>
      </c>
    </row>
    <row r="11" spans="1:11" x14ac:dyDescent="0.25">
      <c r="A11">
        <v>6</v>
      </c>
      <c r="B11" s="6">
        <f>'Proyeccion de ventas'!M8</f>
        <v>2318848197120</v>
      </c>
      <c r="C11" s="62">
        <f>'Costos de Producción'!K14</f>
        <v>1751392630674.7695</v>
      </c>
      <c r="D11" s="62">
        <v>0</v>
      </c>
      <c r="E11" s="62">
        <f t="shared" si="5"/>
        <v>577900135.70000005</v>
      </c>
      <c r="F11" s="62">
        <f t="shared" ref="F11" si="7">B11-C11-E11</f>
        <v>566877666309.53052</v>
      </c>
      <c r="G11" s="62">
        <f t="shared" ref="G11" si="8">IF(F11&gt;0, F11*C$2, 0)</f>
        <v>198407183208.33566</v>
      </c>
      <c r="H11" s="62">
        <f t="shared" ref="H11" si="9">B11*D$2</f>
        <v>16000052560.128</v>
      </c>
      <c r="I11" s="62">
        <f t="shared" ref="I11" si="10">F11-G11-H11</f>
        <v>352470430541.06683</v>
      </c>
      <c r="J11" s="62">
        <f t="shared" ref="J11" si="11">I11+E11-D11</f>
        <v>353048330676.76685</v>
      </c>
      <c r="K11" s="62">
        <f t="shared" si="6"/>
        <v>869443664557.52539</v>
      </c>
    </row>
    <row r="12" spans="1:11" x14ac:dyDescent="0.25">
      <c r="C12" s="62"/>
    </row>
    <row r="13" spans="1:11" x14ac:dyDescent="0.25">
      <c r="A13" t="s">
        <v>280</v>
      </c>
      <c r="B13" s="6">
        <f>A2+ABS(SUM(K5:K7))</f>
        <v>652255600124.25586</v>
      </c>
    </row>
    <row r="14" spans="1:11" x14ac:dyDescent="0.25">
      <c r="A14" s="72" t="s">
        <v>276</v>
      </c>
      <c r="B14" s="73"/>
      <c r="C14" s="73"/>
    </row>
    <row r="15" spans="1:11" x14ac:dyDescent="0.25">
      <c r="A15" t="s">
        <v>287</v>
      </c>
      <c r="B15" s="6">
        <f>NPV(E$2, J6:J11) + J5</f>
        <v>279341034921.85028</v>
      </c>
    </row>
    <row r="16" spans="1:11" x14ac:dyDescent="0.25">
      <c r="A16" t="s">
        <v>277</v>
      </c>
      <c r="B16" s="67">
        <f>IRR(K5:K11)</f>
        <v>0.20205348487282881</v>
      </c>
    </row>
    <row r="17" spans="1:2" x14ac:dyDescent="0.25">
      <c r="A17" t="s">
        <v>278</v>
      </c>
      <c r="B17" s="67">
        <f>(K11-B13)/B13</f>
        <v>0.3329799918803224</v>
      </c>
    </row>
    <row r="18" spans="1:2" x14ac:dyDescent="0.25">
      <c r="A18" t="s">
        <v>288</v>
      </c>
      <c r="B18" s="66">
        <f>A8</f>
        <v>3</v>
      </c>
    </row>
    <row r="19" spans="1:2" x14ac:dyDescent="0.25">
      <c r="A19" t="s">
        <v>289</v>
      </c>
      <c r="B19" s="6">
        <f>ABS(K8)</f>
        <v>149674287719.43811</v>
      </c>
    </row>
    <row r="20" spans="1:2" x14ac:dyDescent="0.25">
      <c r="A20" t="s">
        <v>290</v>
      </c>
      <c r="B20" s="6">
        <f>K9</f>
        <v>176896565031.43445</v>
      </c>
    </row>
    <row r="21" spans="1:2" x14ac:dyDescent="0.25">
      <c r="A21" t="s">
        <v>291</v>
      </c>
      <c r="B21" s="66">
        <f>ROUNDUP(B18+B19/B20,0)</f>
        <v>4</v>
      </c>
    </row>
  </sheetData>
  <mergeCells count="2">
    <mergeCell ref="A14:C14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76CC-3625-4030-B0EB-1E1CC6F69E48}">
  <dimension ref="A1:G10"/>
  <sheetViews>
    <sheetView workbookViewId="0">
      <selection activeCell="D37" sqref="D37"/>
    </sheetView>
  </sheetViews>
  <sheetFormatPr baseColWidth="10" defaultRowHeight="15" x14ac:dyDescent="0.25"/>
  <cols>
    <col min="1" max="1" width="22.5703125" bestFit="1" customWidth="1"/>
  </cols>
  <sheetData>
    <row r="1" spans="1:7" x14ac:dyDescent="0.25">
      <c r="A1" s="44" t="s">
        <v>292</v>
      </c>
      <c r="B1" s="44" t="s">
        <v>293</v>
      </c>
      <c r="C1" s="44" t="s">
        <v>294</v>
      </c>
      <c r="D1" s="44" t="s">
        <v>295</v>
      </c>
      <c r="E1" s="44" t="s">
        <v>296</v>
      </c>
      <c r="F1" s="44" t="s">
        <v>297</v>
      </c>
      <c r="G1" s="44" t="s">
        <v>298</v>
      </c>
    </row>
    <row r="2" spans="1:7" x14ac:dyDescent="0.25">
      <c r="A2" t="s">
        <v>299</v>
      </c>
      <c r="B2">
        <v>500</v>
      </c>
      <c r="C2" t="s">
        <v>300</v>
      </c>
      <c r="D2" t="s">
        <v>301</v>
      </c>
      <c r="E2">
        <v>6.67</v>
      </c>
      <c r="F2" t="s">
        <v>302</v>
      </c>
      <c r="G2" t="s">
        <v>303</v>
      </c>
    </row>
    <row r="3" spans="1:7" x14ac:dyDescent="0.25">
      <c r="A3" t="s">
        <v>304</v>
      </c>
      <c r="B3">
        <v>518.53</v>
      </c>
      <c r="C3" t="s">
        <v>305</v>
      </c>
      <c r="D3" t="s">
        <v>306</v>
      </c>
      <c r="E3">
        <v>6.25</v>
      </c>
      <c r="F3" t="s">
        <v>302</v>
      </c>
      <c r="G3" t="s">
        <v>307</v>
      </c>
    </row>
    <row r="4" spans="1:7" x14ac:dyDescent="0.25">
      <c r="A4" t="s">
        <v>308</v>
      </c>
      <c r="B4">
        <v>482</v>
      </c>
      <c r="C4" t="s">
        <v>309</v>
      </c>
      <c r="D4" t="s">
        <v>310</v>
      </c>
      <c r="E4">
        <v>7.14</v>
      </c>
      <c r="F4" t="s">
        <v>302</v>
      </c>
      <c r="G4" t="s">
        <v>311</v>
      </c>
    </row>
    <row r="5" spans="1:7" x14ac:dyDescent="0.25">
      <c r="A5" t="s">
        <v>312</v>
      </c>
      <c r="B5">
        <v>557.23</v>
      </c>
      <c r="C5" t="s">
        <v>313</v>
      </c>
      <c r="D5" t="s">
        <v>314</v>
      </c>
      <c r="E5">
        <v>5.56</v>
      </c>
      <c r="F5" t="s">
        <v>302</v>
      </c>
      <c r="G5" t="s">
        <v>315</v>
      </c>
    </row>
    <row r="6" spans="1:7" x14ac:dyDescent="0.25">
      <c r="A6" t="s">
        <v>316</v>
      </c>
      <c r="B6">
        <v>641.61</v>
      </c>
      <c r="C6" t="s">
        <v>317</v>
      </c>
      <c r="D6" t="s">
        <v>318</v>
      </c>
      <c r="E6">
        <v>4.55</v>
      </c>
      <c r="F6" t="s">
        <v>302</v>
      </c>
      <c r="G6" t="s">
        <v>319</v>
      </c>
    </row>
    <row r="7" spans="1:7" x14ac:dyDescent="0.25">
      <c r="A7" t="s">
        <v>320</v>
      </c>
      <c r="B7">
        <v>0</v>
      </c>
      <c r="C7" t="s">
        <v>321</v>
      </c>
      <c r="D7" t="s">
        <v>322</v>
      </c>
      <c r="E7" t="s">
        <v>323</v>
      </c>
      <c r="F7" t="s">
        <v>321</v>
      </c>
      <c r="G7" t="s">
        <v>324</v>
      </c>
    </row>
    <row r="8" spans="1:7" x14ac:dyDescent="0.25">
      <c r="A8" t="s">
        <v>325</v>
      </c>
      <c r="B8">
        <v>0</v>
      </c>
      <c r="C8" t="s">
        <v>326</v>
      </c>
      <c r="D8" t="s">
        <v>327</v>
      </c>
      <c r="E8" t="s">
        <v>328</v>
      </c>
      <c r="F8" t="s">
        <v>326</v>
      </c>
      <c r="G8" t="s">
        <v>329</v>
      </c>
    </row>
    <row r="9" spans="1:7" x14ac:dyDescent="0.25">
      <c r="A9" t="s">
        <v>330</v>
      </c>
      <c r="B9">
        <v>0</v>
      </c>
      <c r="C9" t="s">
        <v>331</v>
      </c>
      <c r="D9" t="s">
        <v>332</v>
      </c>
      <c r="E9" t="s">
        <v>333</v>
      </c>
      <c r="F9" t="s">
        <v>331</v>
      </c>
      <c r="G9" t="s">
        <v>334</v>
      </c>
    </row>
    <row r="10" spans="1:7" x14ac:dyDescent="0.25">
      <c r="A10" t="s">
        <v>339</v>
      </c>
      <c r="B10">
        <v>279341034922</v>
      </c>
      <c r="C10" t="s">
        <v>335</v>
      </c>
      <c r="D10" t="s">
        <v>336</v>
      </c>
      <c r="E10">
        <v>4</v>
      </c>
      <c r="F10" t="s">
        <v>337</v>
      </c>
      <c r="G10" t="s">
        <v>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579A-AD1B-422B-B46E-168090AB4A7D}">
  <dimension ref="A1:J51"/>
  <sheetViews>
    <sheetView topLeftCell="A22" workbookViewId="0">
      <selection activeCell="K52" sqref="K52"/>
    </sheetView>
  </sheetViews>
  <sheetFormatPr baseColWidth="10" defaultRowHeight="15" x14ac:dyDescent="0.25"/>
  <cols>
    <col min="1" max="1" width="54.7109375" bestFit="1" customWidth="1"/>
  </cols>
  <sheetData>
    <row r="1" spans="1:10" ht="61.5" x14ac:dyDescent="0.85">
      <c r="A1" s="81" t="s">
        <v>15</v>
      </c>
      <c r="B1" s="81"/>
      <c r="C1" s="81"/>
      <c r="D1" s="81"/>
      <c r="E1" s="81"/>
      <c r="F1" s="81"/>
      <c r="G1" s="81"/>
      <c r="H1" s="81"/>
      <c r="I1" s="81"/>
      <c r="J1" s="8"/>
    </row>
    <row r="2" spans="1:10" ht="45.75" x14ac:dyDescent="0.65">
      <c r="A2" s="9" t="s">
        <v>16</v>
      </c>
      <c r="B2" s="8"/>
      <c r="C2" s="8"/>
      <c r="D2" s="8"/>
      <c r="E2" s="8"/>
      <c r="F2" s="10" t="s">
        <v>17</v>
      </c>
      <c r="G2" s="11">
        <v>45860</v>
      </c>
      <c r="H2" s="10" t="s">
        <v>18</v>
      </c>
      <c r="I2" s="11">
        <f>+G2+30</f>
        <v>45890</v>
      </c>
      <c r="J2" s="8"/>
    </row>
    <row r="3" spans="1:10" ht="25.5" x14ac:dyDescent="0.35">
      <c r="A3" s="12"/>
      <c r="B3" s="8"/>
      <c r="C3" s="8"/>
      <c r="D3" s="8"/>
      <c r="E3" s="8"/>
      <c r="F3" s="12"/>
      <c r="G3" s="8"/>
      <c r="H3" s="8"/>
      <c r="I3" s="8"/>
      <c r="J3" s="8"/>
    </row>
    <row r="4" spans="1:10" x14ac:dyDescent="0.25">
      <c r="A4" s="8" t="s">
        <v>43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82" t="s">
        <v>19</v>
      </c>
      <c r="B7" s="77" t="s">
        <v>20</v>
      </c>
      <c r="C7" s="84"/>
      <c r="D7" s="84"/>
      <c r="E7" s="84"/>
      <c r="F7" s="78"/>
      <c r="G7" s="77" t="s">
        <v>21</v>
      </c>
      <c r="H7" s="84"/>
      <c r="I7" s="78"/>
      <c r="J7" s="14" t="s">
        <v>22</v>
      </c>
    </row>
    <row r="8" spans="1:10" x14ac:dyDescent="0.25">
      <c r="A8" s="83"/>
      <c r="B8" s="15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5" t="s">
        <v>28</v>
      </c>
      <c r="H8" s="13" t="s">
        <v>29</v>
      </c>
      <c r="I8" s="13" t="s">
        <v>27</v>
      </c>
      <c r="J8" s="16" t="s">
        <v>30</v>
      </c>
    </row>
    <row r="9" spans="1:1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10" ht="15.75" x14ac:dyDescent="0.25">
      <c r="A10" s="18" t="s">
        <v>44</v>
      </c>
      <c r="B10" s="19">
        <v>4000000</v>
      </c>
      <c r="C10" s="20">
        <v>30</v>
      </c>
      <c r="D10" s="19">
        <v>106454</v>
      </c>
      <c r="E10" s="19">
        <v>0</v>
      </c>
      <c r="F10" s="19">
        <f t="shared" ref="F10:F34" si="0">+B10+D10+E10</f>
        <v>4106454</v>
      </c>
      <c r="G10" s="19">
        <f t="shared" ref="G10:G35" si="1">F10*D$45</f>
        <v>513306.75</v>
      </c>
      <c r="H10" s="19">
        <f t="shared" ref="H10:H35" si="2">F10*D$46</f>
        <v>657032.64</v>
      </c>
      <c r="I10" s="19">
        <f t="shared" ref="I10:I34" si="3">SUM(G10:H10)</f>
        <v>1170339.3900000001</v>
      </c>
      <c r="J10" s="19">
        <f t="shared" ref="J10:J34" si="4">+F10-I10</f>
        <v>2936114.61</v>
      </c>
    </row>
    <row r="11" spans="1:10" ht="15.75" x14ac:dyDescent="0.25">
      <c r="A11" s="18" t="s">
        <v>45</v>
      </c>
      <c r="B11" s="19">
        <v>4000000</v>
      </c>
      <c r="C11" s="20">
        <v>30</v>
      </c>
      <c r="D11" s="19">
        <v>106454</v>
      </c>
      <c r="E11" s="19">
        <v>0</v>
      </c>
      <c r="F11" s="19">
        <f t="shared" si="0"/>
        <v>4106454</v>
      </c>
      <c r="G11" s="19">
        <f t="shared" si="1"/>
        <v>513306.75</v>
      </c>
      <c r="H11" s="19">
        <f t="shared" si="2"/>
        <v>657032.64</v>
      </c>
      <c r="I11" s="19">
        <f t="shared" si="3"/>
        <v>1170339.3900000001</v>
      </c>
      <c r="J11" s="19">
        <f t="shared" si="4"/>
        <v>2936114.61</v>
      </c>
    </row>
    <row r="12" spans="1:10" ht="15.75" x14ac:dyDescent="0.25">
      <c r="A12" s="18" t="s">
        <v>46</v>
      </c>
      <c r="B12" s="19">
        <v>4000000</v>
      </c>
      <c r="C12" s="20">
        <v>30</v>
      </c>
      <c r="D12" s="19">
        <v>106454</v>
      </c>
      <c r="E12" s="19">
        <v>0</v>
      </c>
      <c r="F12" s="19">
        <f t="shared" si="0"/>
        <v>4106454</v>
      </c>
      <c r="G12" s="19">
        <f t="shared" si="1"/>
        <v>513306.75</v>
      </c>
      <c r="H12" s="19">
        <f t="shared" si="2"/>
        <v>657032.64</v>
      </c>
      <c r="I12" s="19">
        <f t="shared" si="3"/>
        <v>1170339.3900000001</v>
      </c>
      <c r="J12" s="19">
        <f t="shared" si="4"/>
        <v>2936114.61</v>
      </c>
    </row>
    <row r="13" spans="1:10" ht="15.75" x14ac:dyDescent="0.25">
      <c r="A13" s="18" t="s">
        <v>47</v>
      </c>
      <c r="B13" s="19">
        <v>4000000</v>
      </c>
      <c r="C13" s="20">
        <v>30</v>
      </c>
      <c r="D13" s="19">
        <v>106454</v>
      </c>
      <c r="E13" s="19">
        <v>0</v>
      </c>
      <c r="F13" s="19">
        <f t="shared" si="0"/>
        <v>4106454</v>
      </c>
      <c r="G13" s="19">
        <f t="shared" si="1"/>
        <v>513306.75</v>
      </c>
      <c r="H13" s="19">
        <f t="shared" si="2"/>
        <v>657032.64</v>
      </c>
      <c r="I13" s="19">
        <f t="shared" si="3"/>
        <v>1170339.3900000001</v>
      </c>
      <c r="J13" s="19">
        <f t="shared" si="4"/>
        <v>2936114.61</v>
      </c>
    </row>
    <row r="14" spans="1:10" ht="15.75" x14ac:dyDescent="0.25">
      <c r="A14" s="18" t="s">
        <v>118</v>
      </c>
      <c r="B14" s="19">
        <v>3000000</v>
      </c>
      <c r="C14" s="20">
        <v>30</v>
      </c>
      <c r="D14" s="19">
        <v>106454</v>
      </c>
      <c r="E14" s="19">
        <v>0</v>
      </c>
      <c r="F14" s="19">
        <f t="shared" si="0"/>
        <v>3106454</v>
      </c>
      <c r="G14" s="19">
        <f t="shared" si="1"/>
        <v>388306.75</v>
      </c>
      <c r="H14" s="19">
        <f t="shared" si="2"/>
        <v>497032.64</v>
      </c>
      <c r="I14" s="19">
        <f t="shared" si="3"/>
        <v>885339.39</v>
      </c>
      <c r="J14" s="19">
        <f t="shared" si="4"/>
        <v>2221114.61</v>
      </c>
    </row>
    <row r="15" spans="1:10" ht="15.75" x14ac:dyDescent="0.25">
      <c r="A15" s="18" t="s">
        <v>119</v>
      </c>
      <c r="B15" s="19">
        <v>3000000</v>
      </c>
      <c r="C15" s="20">
        <v>30</v>
      </c>
      <c r="D15" s="19">
        <v>106454</v>
      </c>
      <c r="E15" s="19">
        <v>0</v>
      </c>
      <c r="F15" s="19">
        <f t="shared" si="0"/>
        <v>3106454</v>
      </c>
      <c r="G15" s="19">
        <f t="shared" si="1"/>
        <v>388306.75</v>
      </c>
      <c r="H15" s="19">
        <f t="shared" si="2"/>
        <v>497032.64</v>
      </c>
      <c r="I15" s="19">
        <f t="shared" si="3"/>
        <v>885339.39</v>
      </c>
      <c r="J15" s="19">
        <f t="shared" si="4"/>
        <v>2221114.61</v>
      </c>
    </row>
    <row r="16" spans="1:10" ht="15.75" x14ac:dyDescent="0.25">
      <c r="A16" s="18" t="s">
        <v>120</v>
      </c>
      <c r="B16" s="19">
        <v>3000000</v>
      </c>
      <c r="C16" s="20">
        <v>30</v>
      </c>
      <c r="D16" s="19">
        <v>106454</v>
      </c>
      <c r="E16" s="19">
        <v>0</v>
      </c>
      <c r="F16" s="19">
        <f t="shared" si="0"/>
        <v>3106454</v>
      </c>
      <c r="G16" s="19">
        <f t="shared" si="1"/>
        <v>388306.75</v>
      </c>
      <c r="H16" s="19">
        <f t="shared" si="2"/>
        <v>497032.64</v>
      </c>
      <c r="I16" s="19">
        <f t="shared" si="3"/>
        <v>885339.39</v>
      </c>
      <c r="J16" s="19">
        <f t="shared" si="4"/>
        <v>2221114.61</v>
      </c>
    </row>
    <row r="17" spans="1:10" ht="15.75" x14ac:dyDescent="0.25">
      <c r="A17" s="18" t="s">
        <v>48</v>
      </c>
      <c r="B17" s="19">
        <v>2500000</v>
      </c>
      <c r="C17" s="20">
        <v>30</v>
      </c>
      <c r="D17" s="19">
        <v>106454</v>
      </c>
      <c r="E17" s="19">
        <v>0</v>
      </c>
      <c r="F17" s="19">
        <f t="shared" si="0"/>
        <v>2606454</v>
      </c>
      <c r="G17" s="19">
        <f t="shared" si="1"/>
        <v>325806.75</v>
      </c>
      <c r="H17" s="19">
        <f t="shared" si="2"/>
        <v>417032.64</v>
      </c>
      <c r="I17" s="19">
        <f t="shared" si="3"/>
        <v>742839.39</v>
      </c>
      <c r="J17" s="19">
        <f t="shared" si="4"/>
        <v>1863614.6099999999</v>
      </c>
    </row>
    <row r="18" spans="1:10" ht="15.75" x14ac:dyDescent="0.25">
      <c r="A18" s="18" t="s">
        <v>116</v>
      </c>
      <c r="B18" s="19">
        <v>1700000</v>
      </c>
      <c r="C18" s="20">
        <v>30</v>
      </c>
      <c r="D18" s="19">
        <v>106454</v>
      </c>
      <c r="E18" s="19">
        <v>0</v>
      </c>
      <c r="F18" s="19">
        <f t="shared" si="0"/>
        <v>1806454</v>
      </c>
      <c r="G18" s="19">
        <f t="shared" si="1"/>
        <v>225806.75</v>
      </c>
      <c r="H18" s="19">
        <f t="shared" si="2"/>
        <v>289032.64</v>
      </c>
      <c r="I18" s="19">
        <f t="shared" si="3"/>
        <v>514839.39</v>
      </c>
      <c r="J18" s="19">
        <f t="shared" si="4"/>
        <v>1291614.6099999999</v>
      </c>
    </row>
    <row r="19" spans="1:10" ht="15.75" x14ac:dyDescent="0.25">
      <c r="A19" s="18" t="s">
        <v>117</v>
      </c>
      <c r="B19" s="19">
        <v>1700000</v>
      </c>
      <c r="C19" s="20">
        <v>30</v>
      </c>
      <c r="D19" s="19">
        <v>106454</v>
      </c>
      <c r="E19" s="19">
        <v>0</v>
      </c>
      <c r="F19" s="19">
        <f t="shared" si="0"/>
        <v>1806454</v>
      </c>
      <c r="G19" s="19">
        <f t="shared" si="1"/>
        <v>225806.75</v>
      </c>
      <c r="H19" s="19">
        <f t="shared" si="2"/>
        <v>289032.64</v>
      </c>
      <c r="I19" s="19">
        <f t="shared" si="3"/>
        <v>514839.39</v>
      </c>
      <c r="J19" s="19">
        <f t="shared" si="4"/>
        <v>1291614.6099999999</v>
      </c>
    </row>
    <row r="20" spans="1:10" ht="15.75" x14ac:dyDescent="0.25">
      <c r="A20" s="18" t="s">
        <v>121</v>
      </c>
      <c r="B20" s="19">
        <v>2200000</v>
      </c>
      <c r="C20" s="20">
        <v>30</v>
      </c>
      <c r="D20" s="19">
        <v>106454</v>
      </c>
      <c r="E20" s="19">
        <v>0</v>
      </c>
      <c r="F20" s="19">
        <f t="shared" si="0"/>
        <v>2306454</v>
      </c>
      <c r="G20" s="19">
        <f t="shared" si="1"/>
        <v>288306.75</v>
      </c>
      <c r="H20" s="19">
        <f t="shared" si="2"/>
        <v>369032.64</v>
      </c>
      <c r="I20" s="19">
        <f t="shared" si="3"/>
        <v>657339.39</v>
      </c>
      <c r="J20" s="19">
        <f t="shared" si="4"/>
        <v>1649114.6099999999</v>
      </c>
    </row>
    <row r="21" spans="1:10" ht="15.75" x14ac:dyDescent="0.25">
      <c r="A21" s="18" t="s">
        <v>122</v>
      </c>
      <c r="B21" s="19">
        <v>2200000</v>
      </c>
      <c r="C21" s="20">
        <v>30</v>
      </c>
      <c r="D21" s="19">
        <v>106454</v>
      </c>
      <c r="E21" s="19">
        <v>0</v>
      </c>
      <c r="F21" s="19">
        <f t="shared" si="0"/>
        <v>2306454</v>
      </c>
      <c r="G21" s="19">
        <f t="shared" si="1"/>
        <v>288306.75</v>
      </c>
      <c r="H21" s="19">
        <f t="shared" si="2"/>
        <v>369032.64</v>
      </c>
      <c r="I21" s="19">
        <f t="shared" si="3"/>
        <v>657339.39</v>
      </c>
      <c r="J21" s="19">
        <f t="shared" si="4"/>
        <v>1649114.6099999999</v>
      </c>
    </row>
    <row r="22" spans="1:10" ht="15.75" x14ac:dyDescent="0.25">
      <c r="A22" s="18" t="s">
        <v>123</v>
      </c>
      <c r="B22" s="19">
        <v>2200000</v>
      </c>
      <c r="C22" s="20">
        <v>30</v>
      </c>
      <c r="D22" s="19">
        <v>106454</v>
      </c>
      <c r="E22" s="19">
        <v>0</v>
      </c>
      <c r="F22" s="19">
        <f t="shared" si="0"/>
        <v>2306454</v>
      </c>
      <c r="G22" s="19">
        <f t="shared" si="1"/>
        <v>288306.75</v>
      </c>
      <c r="H22" s="19">
        <f t="shared" si="2"/>
        <v>369032.64</v>
      </c>
      <c r="I22" s="19">
        <f t="shared" si="3"/>
        <v>657339.39</v>
      </c>
      <c r="J22" s="19">
        <f t="shared" si="4"/>
        <v>1649114.6099999999</v>
      </c>
    </row>
    <row r="23" spans="1:10" ht="15.75" x14ac:dyDescent="0.25">
      <c r="A23" s="18" t="s">
        <v>124</v>
      </c>
      <c r="B23" s="19">
        <v>2200000</v>
      </c>
      <c r="C23" s="20">
        <v>30</v>
      </c>
      <c r="D23" s="19">
        <v>106454</v>
      </c>
      <c r="E23" s="19">
        <v>0</v>
      </c>
      <c r="F23" s="19">
        <f t="shared" si="0"/>
        <v>2306454</v>
      </c>
      <c r="G23" s="19">
        <f t="shared" si="1"/>
        <v>288306.75</v>
      </c>
      <c r="H23" s="19">
        <f t="shared" si="2"/>
        <v>369032.64</v>
      </c>
      <c r="I23" s="19">
        <f t="shared" si="3"/>
        <v>657339.39</v>
      </c>
      <c r="J23" s="19">
        <f t="shared" si="4"/>
        <v>1649114.6099999999</v>
      </c>
    </row>
    <row r="24" spans="1:10" ht="15.75" x14ac:dyDescent="0.25">
      <c r="A24" s="18" t="s">
        <v>125</v>
      </c>
      <c r="B24" s="19">
        <v>2200000</v>
      </c>
      <c r="C24" s="20">
        <v>30</v>
      </c>
      <c r="D24" s="19">
        <v>106454</v>
      </c>
      <c r="E24" s="19">
        <v>0</v>
      </c>
      <c r="F24" s="19">
        <f t="shared" ref="F24:F27" si="5">+B24+D24+E24</f>
        <v>2306454</v>
      </c>
      <c r="G24" s="19">
        <f t="shared" si="1"/>
        <v>288306.75</v>
      </c>
      <c r="H24" s="19">
        <f t="shared" si="2"/>
        <v>369032.64</v>
      </c>
      <c r="I24" s="19">
        <f t="shared" ref="I24:I27" si="6">SUM(G24:H24)</f>
        <v>657339.39</v>
      </c>
      <c r="J24" s="19">
        <f t="shared" ref="J24:J27" si="7">+F24-I24</f>
        <v>1649114.6099999999</v>
      </c>
    </row>
    <row r="25" spans="1:10" ht="15.75" x14ac:dyDescent="0.25">
      <c r="A25" s="18" t="s">
        <v>126</v>
      </c>
      <c r="B25" s="19">
        <v>2200000</v>
      </c>
      <c r="C25" s="20">
        <v>30</v>
      </c>
      <c r="D25" s="19">
        <v>106454</v>
      </c>
      <c r="E25" s="19">
        <v>0</v>
      </c>
      <c r="F25" s="19">
        <f t="shared" si="5"/>
        <v>2306454</v>
      </c>
      <c r="G25" s="19">
        <f t="shared" si="1"/>
        <v>288306.75</v>
      </c>
      <c r="H25" s="19">
        <f t="shared" si="2"/>
        <v>369032.64</v>
      </c>
      <c r="I25" s="19">
        <f t="shared" si="6"/>
        <v>657339.39</v>
      </c>
      <c r="J25" s="19">
        <f t="shared" si="7"/>
        <v>1649114.6099999999</v>
      </c>
    </row>
    <row r="26" spans="1:10" ht="15.75" x14ac:dyDescent="0.25">
      <c r="A26" s="18" t="s">
        <v>127</v>
      </c>
      <c r="B26" s="19">
        <v>2200000</v>
      </c>
      <c r="C26" s="20">
        <v>30</v>
      </c>
      <c r="D26" s="19">
        <v>106454</v>
      </c>
      <c r="E26" s="19">
        <v>0</v>
      </c>
      <c r="F26" s="19">
        <f t="shared" si="5"/>
        <v>2306454</v>
      </c>
      <c r="G26" s="19">
        <f t="shared" si="1"/>
        <v>288306.75</v>
      </c>
      <c r="H26" s="19">
        <f t="shared" si="2"/>
        <v>369032.64</v>
      </c>
      <c r="I26" s="19">
        <f t="shared" si="6"/>
        <v>657339.39</v>
      </c>
      <c r="J26" s="19">
        <f t="shared" si="7"/>
        <v>1649114.6099999999</v>
      </c>
    </row>
    <row r="27" spans="1:10" ht="15.75" x14ac:dyDescent="0.25">
      <c r="A27" s="18" t="s">
        <v>128</v>
      </c>
      <c r="B27" s="19">
        <v>2200000</v>
      </c>
      <c r="C27" s="20">
        <v>30</v>
      </c>
      <c r="D27" s="19">
        <v>106454</v>
      </c>
      <c r="E27" s="19">
        <v>0</v>
      </c>
      <c r="F27" s="19">
        <f t="shared" si="5"/>
        <v>2306454</v>
      </c>
      <c r="G27" s="19">
        <f t="shared" si="1"/>
        <v>288306.75</v>
      </c>
      <c r="H27" s="19">
        <f t="shared" si="2"/>
        <v>369032.64</v>
      </c>
      <c r="I27" s="19">
        <f t="shared" si="6"/>
        <v>657339.39</v>
      </c>
      <c r="J27" s="19">
        <f t="shared" si="7"/>
        <v>1649114.6099999999</v>
      </c>
    </row>
    <row r="28" spans="1:10" ht="15.75" x14ac:dyDescent="0.25">
      <c r="A28" s="18" t="s">
        <v>129</v>
      </c>
      <c r="B28" s="19">
        <v>2200000</v>
      </c>
      <c r="C28" s="20">
        <v>30</v>
      </c>
      <c r="D28" s="19">
        <v>106454</v>
      </c>
      <c r="E28" s="19">
        <v>0</v>
      </c>
      <c r="F28" s="19">
        <f t="shared" ref="F28:F29" si="8">+B28+D28+E28</f>
        <v>2306454</v>
      </c>
      <c r="G28" s="19">
        <f t="shared" si="1"/>
        <v>288306.75</v>
      </c>
      <c r="H28" s="19">
        <f t="shared" si="2"/>
        <v>369032.64</v>
      </c>
      <c r="I28" s="19">
        <f t="shared" ref="I28:I29" si="9">SUM(G28:H28)</f>
        <v>657339.39</v>
      </c>
      <c r="J28" s="19">
        <f t="shared" ref="J28:J29" si="10">+F28-I28</f>
        <v>1649114.6099999999</v>
      </c>
    </row>
    <row r="29" spans="1:10" ht="15.75" x14ac:dyDescent="0.25">
      <c r="A29" s="18" t="s">
        <v>130</v>
      </c>
      <c r="B29" s="19">
        <v>2200000</v>
      </c>
      <c r="C29" s="20">
        <v>30</v>
      </c>
      <c r="D29" s="19">
        <v>106454</v>
      </c>
      <c r="E29" s="19">
        <v>0</v>
      </c>
      <c r="F29" s="19">
        <f t="shared" si="8"/>
        <v>2306454</v>
      </c>
      <c r="G29" s="19">
        <f t="shared" si="1"/>
        <v>288306.75</v>
      </c>
      <c r="H29" s="19">
        <f t="shared" si="2"/>
        <v>369032.64</v>
      </c>
      <c r="I29" s="19">
        <f t="shared" si="9"/>
        <v>657339.39</v>
      </c>
      <c r="J29" s="19">
        <f t="shared" si="10"/>
        <v>1649114.6099999999</v>
      </c>
    </row>
    <row r="30" spans="1:10" ht="15.75" x14ac:dyDescent="0.25">
      <c r="A30" s="18" t="s">
        <v>131</v>
      </c>
      <c r="B30" s="19">
        <v>2200000</v>
      </c>
      <c r="C30" s="20">
        <v>30</v>
      </c>
      <c r="D30" s="19">
        <v>106454</v>
      </c>
      <c r="E30" s="19">
        <v>0</v>
      </c>
      <c r="F30" s="19">
        <f t="shared" ref="F30:F31" si="11">+B30+D30+E30</f>
        <v>2306454</v>
      </c>
      <c r="G30" s="19">
        <f t="shared" si="1"/>
        <v>288306.75</v>
      </c>
      <c r="H30" s="19">
        <f t="shared" si="2"/>
        <v>369032.64</v>
      </c>
      <c r="I30" s="19">
        <f t="shared" ref="I30:I31" si="12">SUM(G30:H30)</f>
        <v>657339.39</v>
      </c>
      <c r="J30" s="19">
        <f t="shared" ref="J30:J31" si="13">+F30-I30</f>
        <v>1649114.6099999999</v>
      </c>
    </row>
    <row r="31" spans="1:10" ht="15.75" x14ac:dyDescent="0.25">
      <c r="A31" s="18" t="s">
        <v>132</v>
      </c>
      <c r="B31" s="19">
        <v>2200000</v>
      </c>
      <c r="C31" s="20">
        <v>30</v>
      </c>
      <c r="D31" s="19">
        <v>106454</v>
      </c>
      <c r="E31" s="19">
        <v>0</v>
      </c>
      <c r="F31" s="19">
        <f t="shared" si="11"/>
        <v>2306454</v>
      </c>
      <c r="G31" s="19">
        <f t="shared" si="1"/>
        <v>288306.75</v>
      </c>
      <c r="H31" s="19">
        <f t="shared" si="2"/>
        <v>369032.64</v>
      </c>
      <c r="I31" s="19">
        <f t="shared" si="12"/>
        <v>657339.39</v>
      </c>
      <c r="J31" s="19">
        <f t="shared" si="13"/>
        <v>1649114.6099999999</v>
      </c>
    </row>
    <row r="32" spans="1:10" ht="15.75" x14ac:dyDescent="0.25">
      <c r="A32" s="18" t="s">
        <v>133</v>
      </c>
      <c r="B32" s="19">
        <v>2000000</v>
      </c>
      <c r="C32" s="20">
        <v>30</v>
      </c>
      <c r="D32" s="19">
        <v>106454</v>
      </c>
      <c r="E32" s="19">
        <v>0</v>
      </c>
      <c r="F32" s="19">
        <f t="shared" ref="F32:F33" si="14">+B32+D32+E32</f>
        <v>2106454</v>
      </c>
      <c r="G32" s="19">
        <f t="shared" si="1"/>
        <v>263306.75</v>
      </c>
      <c r="H32" s="19">
        <f t="shared" si="2"/>
        <v>337032.64</v>
      </c>
      <c r="I32" s="19">
        <f t="shared" ref="I32:I33" si="15">SUM(G32:H32)</f>
        <v>600339.39</v>
      </c>
      <c r="J32" s="19">
        <f t="shared" ref="J32:J33" si="16">+F32-I32</f>
        <v>1506114.6099999999</v>
      </c>
    </row>
    <row r="33" spans="1:10" ht="15.75" x14ac:dyDescent="0.25">
      <c r="A33" s="18" t="s">
        <v>134</v>
      </c>
      <c r="B33" s="19">
        <v>2000000</v>
      </c>
      <c r="C33" s="20">
        <v>30</v>
      </c>
      <c r="D33" s="19">
        <v>106454</v>
      </c>
      <c r="E33" s="19">
        <v>0</v>
      </c>
      <c r="F33" s="19">
        <f t="shared" si="14"/>
        <v>2106454</v>
      </c>
      <c r="G33" s="19">
        <f t="shared" si="1"/>
        <v>263306.75</v>
      </c>
      <c r="H33" s="19">
        <f t="shared" si="2"/>
        <v>337032.64</v>
      </c>
      <c r="I33" s="19">
        <f t="shared" si="15"/>
        <v>600339.39</v>
      </c>
      <c r="J33" s="19">
        <f t="shared" si="16"/>
        <v>1506114.6099999999</v>
      </c>
    </row>
    <row r="34" spans="1:10" ht="15.75" x14ac:dyDescent="0.25">
      <c r="A34" s="18" t="s">
        <v>135</v>
      </c>
      <c r="B34" s="19">
        <v>1500000</v>
      </c>
      <c r="C34" s="20">
        <v>30</v>
      </c>
      <c r="D34" s="19">
        <v>0</v>
      </c>
      <c r="E34" s="19">
        <v>0</v>
      </c>
      <c r="F34" s="19">
        <f t="shared" si="0"/>
        <v>1500000</v>
      </c>
      <c r="G34" s="19">
        <f t="shared" si="1"/>
        <v>187500</v>
      </c>
      <c r="H34" s="19">
        <f t="shared" si="2"/>
        <v>240000</v>
      </c>
      <c r="I34" s="19">
        <f t="shared" si="3"/>
        <v>427500</v>
      </c>
      <c r="J34" s="19">
        <f t="shared" si="4"/>
        <v>1072500</v>
      </c>
    </row>
    <row r="35" spans="1:10" ht="15.75" x14ac:dyDescent="0.25">
      <c r="A35" s="21" t="s">
        <v>136</v>
      </c>
      <c r="B35" s="19">
        <v>1500000</v>
      </c>
      <c r="C35" s="20">
        <v>30</v>
      </c>
      <c r="D35" s="19">
        <v>0</v>
      </c>
      <c r="E35" s="19">
        <v>0</v>
      </c>
      <c r="F35" s="19">
        <f t="shared" ref="F35" si="17">+B35+D35+E35</f>
        <v>1500000</v>
      </c>
      <c r="G35" s="19">
        <f t="shared" si="1"/>
        <v>187500</v>
      </c>
      <c r="H35" s="19">
        <f t="shared" si="2"/>
        <v>240000</v>
      </c>
      <c r="I35" s="19">
        <f t="shared" ref="I35" si="18">SUM(G35:H35)</f>
        <v>427500</v>
      </c>
      <c r="J35" s="19">
        <f t="shared" ref="J35" si="19">+F35-I35</f>
        <v>1072500</v>
      </c>
    </row>
    <row r="36" spans="1:10" ht="15.75" x14ac:dyDescent="0.25">
      <c r="A36" s="18" t="s">
        <v>31</v>
      </c>
      <c r="B36" s="19">
        <f>SUM(B10:B35)</f>
        <v>64300000</v>
      </c>
      <c r="C36" s="19"/>
      <c r="D36" s="19">
        <f>SUM(D10:D35)</f>
        <v>2554896</v>
      </c>
      <c r="E36" s="19">
        <f>SUM(E10:E35)</f>
        <v>0</v>
      </c>
      <c r="F36" s="19">
        <f>SUM(F10:F35)</f>
        <v>66854896</v>
      </c>
      <c r="G36" s="19">
        <f>SUM(G10:G35)</f>
        <v>8356862</v>
      </c>
      <c r="H36" s="19"/>
      <c r="I36" s="19">
        <f>SUM(I10:I35)</f>
        <v>19053645.360000007</v>
      </c>
      <c r="J36" s="19">
        <f>SUM(J10:J35)</f>
        <v>47801250.639999993</v>
      </c>
    </row>
    <row r="37" spans="1:10" ht="16.5" thickBot="1" x14ac:dyDescent="0.3">
      <c r="A37" s="21"/>
      <c r="B37" s="22"/>
      <c r="C37" s="22"/>
      <c r="D37" s="8"/>
      <c r="E37" s="8"/>
      <c r="F37" s="22"/>
      <c r="G37" s="22"/>
      <c r="H37" s="22"/>
      <c r="I37" s="22"/>
      <c r="J37" s="8"/>
    </row>
    <row r="38" spans="1:10" ht="20.25" x14ac:dyDescent="0.25">
      <c r="A38" s="85" t="s">
        <v>32</v>
      </c>
      <c r="B38" s="86"/>
      <c r="C38" s="86"/>
      <c r="D38" s="86"/>
      <c r="E38" s="86"/>
      <c r="F38" s="87"/>
      <c r="G38" s="8"/>
      <c r="H38" s="8"/>
      <c r="I38" s="17"/>
      <c r="J38" s="8"/>
    </row>
    <row r="39" spans="1:10" x14ac:dyDescent="0.25">
      <c r="A39" s="75" t="s">
        <v>33</v>
      </c>
      <c r="B39" s="77" t="s">
        <v>34</v>
      </c>
      <c r="C39" s="78"/>
      <c r="D39" s="77" t="s">
        <v>35</v>
      </c>
      <c r="E39" s="78"/>
      <c r="F39" s="79" t="s">
        <v>27</v>
      </c>
      <c r="G39" s="8"/>
      <c r="H39" s="8"/>
      <c r="I39" s="8"/>
      <c r="J39" s="8"/>
    </row>
    <row r="40" spans="1:10" ht="15.75" thickBot="1" x14ac:dyDescent="0.3">
      <c r="A40" s="76"/>
      <c r="B40" s="23" t="s">
        <v>36</v>
      </c>
      <c r="C40" s="23" t="s">
        <v>37</v>
      </c>
      <c r="D40" s="23" t="s">
        <v>36</v>
      </c>
      <c r="E40" s="23" t="s">
        <v>37</v>
      </c>
      <c r="F40" s="80"/>
      <c r="G40" s="8"/>
      <c r="H40" s="8"/>
      <c r="I40" s="17"/>
      <c r="J40" s="8"/>
    </row>
    <row r="41" spans="1:10" x14ac:dyDescent="0.25">
      <c r="A41" s="24" t="s">
        <v>38</v>
      </c>
      <c r="B41" s="25">
        <v>8.3299999999999999E-2</v>
      </c>
      <c r="C41" s="26">
        <f t="shared" ref="C41:C47" si="20">F$36*B41</f>
        <v>5569012.8367999997</v>
      </c>
      <c r="D41" s="25">
        <v>0</v>
      </c>
      <c r="E41" s="26">
        <f t="shared" ref="E41:E47" si="21">F$36*D41</f>
        <v>0</v>
      </c>
      <c r="F41" s="27">
        <f t="shared" ref="F41:F47" si="22">C41+E41</f>
        <v>5569012.8367999997</v>
      </c>
      <c r="G41" s="8"/>
      <c r="H41" s="8"/>
      <c r="I41" s="8"/>
      <c r="J41" s="8"/>
    </row>
    <row r="42" spans="1:10" x14ac:dyDescent="0.25">
      <c r="A42" s="28" t="s">
        <v>39</v>
      </c>
      <c r="B42" s="29">
        <v>0.01</v>
      </c>
      <c r="C42" s="30">
        <f t="shared" si="20"/>
        <v>668548.96</v>
      </c>
      <c r="D42" s="29">
        <v>0</v>
      </c>
      <c r="E42" s="30">
        <f t="shared" si="21"/>
        <v>0</v>
      </c>
      <c r="F42" s="31">
        <f t="shared" si="22"/>
        <v>668548.96</v>
      </c>
      <c r="G42" s="8"/>
      <c r="H42" s="8"/>
      <c r="I42" s="8"/>
      <c r="J42" s="8"/>
    </row>
    <row r="43" spans="1:10" x14ac:dyDescent="0.25">
      <c r="A43" s="28" t="s">
        <v>40</v>
      </c>
      <c r="B43" s="29">
        <v>8.3299999999999999E-2</v>
      </c>
      <c r="C43" s="30">
        <f t="shared" si="20"/>
        <v>5569012.8367999997</v>
      </c>
      <c r="D43" s="29">
        <v>0</v>
      </c>
      <c r="E43" s="30">
        <f t="shared" si="21"/>
        <v>0</v>
      </c>
      <c r="F43" s="31">
        <f t="shared" si="22"/>
        <v>5569012.8367999997</v>
      </c>
      <c r="G43" s="8"/>
      <c r="H43" s="8"/>
      <c r="I43" s="8"/>
      <c r="J43" s="8"/>
    </row>
    <row r="44" spans="1:10" x14ac:dyDescent="0.25">
      <c r="A44" s="28" t="s">
        <v>41</v>
      </c>
      <c r="B44" s="29">
        <v>4.1700000000000001E-2</v>
      </c>
      <c r="C44" s="30">
        <f t="shared" si="20"/>
        <v>2787849.1631999998</v>
      </c>
      <c r="D44" s="29">
        <v>0</v>
      </c>
      <c r="E44" s="30">
        <f t="shared" si="21"/>
        <v>0</v>
      </c>
      <c r="F44" s="31">
        <f t="shared" si="22"/>
        <v>2787849.1631999998</v>
      </c>
      <c r="G44" s="8"/>
      <c r="H44" s="8"/>
      <c r="I44" s="8"/>
      <c r="J44" s="8"/>
    </row>
    <row r="45" spans="1:10" x14ac:dyDescent="0.25">
      <c r="A45" s="28" t="s">
        <v>28</v>
      </c>
      <c r="B45" s="29">
        <v>8.5000000000000006E-2</v>
      </c>
      <c r="C45" s="30">
        <f t="shared" si="20"/>
        <v>5682666.1600000001</v>
      </c>
      <c r="D45" s="29">
        <v>0.125</v>
      </c>
      <c r="E45" s="30">
        <f t="shared" si="21"/>
        <v>8356862</v>
      </c>
      <c r="F45" s="31">
        <f t="shared" si="22"/>
        <v>14039528.16</v>
      </c>
      <c r="G45" s="8"/>
      <c r="H45" s="8"/>
      <c r="I45" s="8"/>
      <c r="J45" s="8"/>
    </row>
    <row r="46" spans="1:10" x14ac:dyDescent="0.25">
      <c r="A46" s="28" t="s">
        <v>29</v>
      </c>
      <c r="B46" s="29">
        <v>0.12</v>
      </c>
      <c r="C46" s="30">
        <f t="shared" si="20"/>
        <v>8022587.5199999996</v>
      </c>
      <c r="D46" s="29">
        <v>0.16</v>
      </c>
      <c r="E46" s="30">
        <f t="shared" si="21"/>
        <v>10696783.359999999</v>
      </c>
      <c r="F46" s="31">
        <f t="shared" si="22"/>
        <v>18719370.879999999</v>
      </c>
      <c r="G46" s="8"/>
      <c r="H46" s="8"/>
      <c r="I46" s="8"/>
      <c r="J46" s="8"/>
    </row>
    <row r="47" spans="1:10" x14ac:dyDescent="0.25">
      <c r="A47" s="28" t="s">
        <v>42</v>
      </c>
      <c r="B47" s="29">
        <v>0.09</v>
      </c>
      <c r="C47" s="30">
        <f t="shared" si="20"/>
        <v>6016940.6399999997</v>
      </c>
      <c r="D47" s="29">
        <v>0</v>
      </c>
      <c r="E47" s="30">
        <f t="shared" si="21"/>
        <v>0</v>
      </c>
      <c r="F47" s="31">
        <f t="shared" si="22"/>
        <v>6016940.6399999997</v>
      </c>
      <c r="G47" s="8"/>
      <c r="H47" s="8"/>
      <c r="I47" s="8"/>
      <c r="J47" s="8"/>
    </row>
    <row r="48" spans="1:10" ht="15.75" thickBot="1" x14ac:dyDescent="0.3">
      <c r="A48" s="32" t="s">
        <v>27</v>
      </c>
      <c r="B48" s="33"/>
      <c r="C48" s="34">
        <f>SUM(C41:C47)</f>
        <v>34316618.116799995</v>
      </c>
      <c r="D48" s="35"/>
      <c r="E48" s="34">
        <f t="shared" ref="E48:F48" si="23">SUM(E41:E47)</f>
        <v>19053645.359999999</v>
      </c>
      <c r="F48" s="36">
        <f t="shared" si="23"/>
        <v>53370263.476799995</v>
      </c>
      <c r="G48" s="8"/>
      <c r="H48" s="8"/>
      <c r="I48" s="8"/>
      <c r="J48" s="8"/>
    </row>
    <row r="49" spans="1:1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37" t="s">
        <v>194</v>
      </c>
      <c r="B50" s="38"/>
      <c r="D50" s="8"/>
      <c r="E50" s="8"/>
      <c r="F50" s="39">
        <f>+J36+C48</f>
        <v>82117868.756799996</v>
      </c>
      <c r="G50" s="8"/>
      <c r="H50" s="8"/>
      <c r="I50" s="8"/>
      <c r="J50" s="8"/>
    </row>
    <row r="51" spans="1:10" x14ac:dyDescent="0.25">
      <c r="A51" s="37" t="s">
        <v>195</v>
      </c>
      <c r="B51" s="38"/>
      <c r="D51" s="8"/>
      <c r="E51" s="8"/>
      <c r="F51" s="39">
        <f>F50*2</f>
        <v>164235737.51359999</v>
      </c>
    </row>
  </sheetData>
  <mergeCells count="9">
    <mergeCell ref="A39:A40"/>
    <mergeCell ref="B39:C39"/>
    <mergeCell ref="D39:E39"/>
    <mergeCell ref="F39:F40"/>
    <mergeCell ref="A1:I1"/>
    <mergeCell ref="A7:A8"/>
    <mergeCell ref="B7:F7"/>
    <mergeCell ref="G7:I7"/>
    <mergeCell ref="A38:F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2F60-ED36-43F1-B41D-B62E51C9D970}">
  <dimension ref="B2:N71"/>
  <sheetViews>
    <sheetView tabSelected="1" topLeftCell="A23" zoomScale="65" workbookViewId="0">
      <selection activeCell="B38" sqref="B38:E70"/>
    </sheetView>
  </sheetViews>
  <sheetFormatPr baseColWidth="10" defaultRowHeight="15" x14ac:dyDescent="0.25"/>
  <cols>
    <col min="2" max="2" width="20.28515625" style="1" bestFit="1" customWidth="1"/>
    <col min="3" max="3" width="47.7109375" bestFit="1" customWidth="1"/>
    <col min="4" max="4" width="40.140625" style="50" customWidth="1"/>
    <col min="5" max="5" width="21.5703125" style="6" bestFit="1" customWidth="1"/>
    <col min="7" max="7" width="20" style="51" bestFit="1" customWidth="1"/>
    <col min="8" max="8" width="18.5703125" style="52" bestFit="1" customWidth="1"/>
    <col min="9" max="9" width="17.85546875" style="52" bestFit="1" customWidth="1"/>
    <col min="10" max="10" width="22.28515625" style="52" bestFit="1" customWidth="1"/>
    <col min="11" max="11" width="15.28515625" style="52" bestFit="1" customWidth="1"/>
    <col min="12" max="12" width="19.140625" style="52" bestFit="1" customWidth="1"/>
    <col min="13" max="13" width="25.7109375" style="52" bestFit="1" customWidth="1"/>
    <col min="14" max="14" width="17.7109375" style="52" bestFit="1" customWidth="1"/>
  </cols>
  <sheetData>
    <row r="2" spans="2:11" x14ac:dyDescent="0.25">
      <c r="B2" s="3" t="s">
        <v>1</v>
      </c>
      <c r="C2" s="3" t="s">
        <v>0</v>
      </c>
      <c r="D2" s="47" t="s">
        <v>56</v>
      </c>
      <c r="E2" s="43" t="s">
        <v>54</v>
      </c>
      <c r="F2" s="3" t="s">
        <v>3</v>
      </c>
      <c r="G2" s="45" t="s">
        <v>4</v>
      </c>
      <c r="H2" s="48" t="s">
        <v>158</v>
      </c>
      <c r="J2" s="52" t="s">
        <v>58</v>
      </c>
      <c r="K2" s="52">
        <v>4038.97</v>
      </c>
    </row>
    <row r="3" spans="2:11" x14ac:dyDescent="0.25">
      <c r="B3" s="2">
        <v>1</v>
      </c>
      <c r="C3" s="4" t="s">
        <v>57</v>
      </c>
      <c r="D3" s="5">
        <v>525</v>
      </c>
      <c r="E3" s="41">
        <f>D3*$K$2</f>
        <v>2120459.25</v>
      </c>
      <c r="F3" s="4">
        <v>14</v>
      </c>
      <c r="G3" s="46">
        <f>E3*F3</f>
        <v>29686429.5</v>
      </c>
      <c r="H3" s="49"/>
    </row>
    <row r="4" spans="2:11" x14ac:dyDescent="0.25">
      <c r="B4" s="2">
        <v>2</v>
      </c>
      <c r="C4" s="4" t="s">
        <v>157</v>
      </c>
      <c r="D4" s="5">
        <v>70000</v>
      </c>
      <c r="E4" s="41">
        <f>D4*$K$2</f>
        <v>282727900</v>
      </c>
      <c r="F4" s="4">
        <v>1</v>
      </c>
      <c r="G4" s="46">
        <f>E4*F4</f>
        <v>282727900</v>
      </c>
      <c r="H4" s="49" t="s">
        <v>159</v>
      </c>
      <c r="I4" s="53"/>
    </row>
    <row r="5" spans="2:11" x14ac:dyDescent="0.25">
      <c r="B5" s="2">
        <v>3</v>
      </c>
      <c r="C5" s="4" t="s">
        <v>49</v>
      </c>
      <c r="D5" s="5">
        <v>120000</v>
      </c>
      <c r="E5" s="41">
        <f t="shared" ref="E5:E21" si="0">D5*$K$2</f>
        <v>484676400</v>
      </c>
      <c r="F5" s="4">
        <v>1</v>
      </c>
      <c r="G5" s="46">
        <f t="shared" ref="G5:G34" si="1">E5*F5</f>
        <v>484676400</v>
      </c>
      <c r="H5" s="49" t="s">
        <v>160</v>
      </c>
      <c r="I5" s="53"/>
    </row>
    <row r="6" spans="2:11" x14ac:dyDescent="0.25">
      <c r="B6" s="2">
        <v>4</v>
      </c>
      <c r="C6" s="4" t="s">
        <v>50</v>
      </c>
      <c r="D6" s="5">
        <v>130000</v>
      </c>
      <c r="E6" s="41">
        <f t="shared" si="0"/>
        <v>525066100</v>
      </c>
      <c r="F6" s="4">
        <v>1</v>
      </c>
      <c r="G6" s="46">
        <f t="shared" si="1"/>
        <v>525066100</v>
      </c>
      <c r="H6" s="49" t="s">
        <v>160</v>
      </c>
      <c r="I6" s="53"/>
    </row>
    <row r="7" spans="2:11" x14ac:dyDescent="0.25">
      <c r="B7" s="2">
        <v>5</v>
      </c>
      <c r="C7" s="4" t="s">
        <v>52</v>
      </c>
      <c r="D7" s="5">
        <v>120000</v>
      </c>
      <c r="E7" s="41">
        <f t="shared" si="0"/>
        <v>484676400</v>
      </c>
      <c r="F7" s="4">
        <v>1</v>
      </c>
      <c r="G7" s="46">
        <f t="shared" si="1"/>
        <v>484676400</v>
      </c>
      <c r="H7" s="49" t="s">
        <v>161</v>
      </c>
      <c r="I7" s="53"/>
    </row>
    <row r="8" spans="2:11" x14ac:dyDescent="0.25">
      <c r="B8" s="2">
        <v>6</v>
      </c>
      <c r="C8" s="4" t="s">
        <v>53</v>
      </c>
      <c r="D8" s="5">
        <v>275</v>
      </c>
      <c r="E8" s="41">
        <f t="shared" si="0"/>
        <v>1110716.75</v>
      </c>
      <c r="F8" s="4">
        <v>1</v>
      </c>
      <c r="G8" s="46">
        <f t="shared" si="1"/>
        <v>1110716.75</v>
      </c>
      <c r="H8" s="49" t="s">
        <v>160</v>
      </c>
      <c r="I8" s="53"/>
    </row>
    <row r="9" spans="2:11" x14ac:dyDescent="0.25">
      <c r="B9" s="2">
        <v>7</v>
      </c>
      <c r="C9" s="4" t="s">
        <v>51</v>
      </c>
      <c r="D9" s="5"/>
      <c r="E9" s="41">
        <v>2000000</v>
      </c>
      <c r="F9" s="4">
        <v>10</v>
      </c>
      <c r="G9" s="46">
        <f t="shared" si="1"/>
        <v>20000000</v>
      </c>
      <c r="H9" s="49" t="s">
        <v>162</v>
      </c>
    </row>
    <row r="10" spans="2:11" x14ac:dyDescent="0.25">
      <c r="B10" s="2">
        <v>8</v>
      </c>
      <c r="C10" s="4" t="s">
        <v>55</v>
      </c>
      <c r="D10" s="5">
        <v>114</v>
      </c>
      <c r="E10" s="41">
        <f t="shared" si="0"/>
        <v>460442.57999999996</v>
      </c>
      <c r="F10" s="4">
        <v>1</v>
      </c>
      <c r="G10" s="46">
        <f t="shared" si="1"/>
        <v>460442.57999999996</v>
      </c>
      <c r="H10" s="49" t="s">
        <v>160</v>
      </c>
      <c r="I10" s="53"/>
    </row>
    <row r="11" spans="2:11" x14ac:dyDescent="0.25">
      <c r="B11" s="2">
        <v>9</v>
      </c>
      <c r="C11" s="4" t="s">
        <v>112</v>
      </c>
      <c r="D11" s="5">
        <v>1700</v>
      </c>
      <c r="E11" s="41">
        <f t="shared" si="0"/>
        <v>6866249</v>
      </c>
      <c r="F11" s="4">
        <v>9</v>
      </c>
      <c r="G11" s="46">
        <f t="shared" si="1"/>
        <v>61796241</v>
      </c>
      <c r="H11" s="49" t="s">
        <v>160</v>
      </c>
    </row>
    <row r="12" spans="2:11" x14ac:dyDescent="0.25">
      <c r="B12" s="2">
        <v>10</v>
      </c>
      <c r="C12" s="4" t="s">
        <v>59</v>
      </c>
      <c r="D12" s="5"/>
      <c r="E12" s="41">
        <v>5000000</v>
      </c>
      <c r="F12" s="4">
        <v>5</v>
      </c>
      <c r="G12" s="46">
        <f t="shared" si="1"/>
        <v>25000000</v>
      </c>
      <c r="H12" s="49" t="s">
        <v>163</v>
      </c>
    </row>
    <row r="13" spans="2:11" x14ac:dyDescent="0.25">
      <c r="B13" s="2">
        <v>11</v>
      </c>
      <c r="C13" s="4" t="s">
        <v>60</v>
      </c>
      <c r="D13" s="5"/>
      <c r="E13" s="41">
        <v>1000000</v>
      </c>
      <c r="F13" s="4">
        <v>5</v>
      </c>
      <c r="G13" s="46">
        <f t="shared" si="1"/>
        <v>5000000</v>
      </c>
      <c r="H13" s="49" t="s">
        <v>163</v>
      </c>
    </row>
    <row r="14" spans="2:11" x14ac:dyDescent="0.25">
      <c r="B14" s="2">
        <v>12</v>
      </c>
      <c r="C14" s="4" t="s">
        <v>107</v>
      </c>
      <c r="D14" s="5">
        <v>3992</v>
      </c>
      <c r="E14" s="41">
        <f t="shared" si="0"/>
        <v>16123568.239999998</v>
      </c>
      <c r="F14" s="4">
        <v>12</v>
      </c>
      <c r="G14" s="46">
        <f t="shared" si="1"/>
        <v>193482818.88</v>
      </c>
      <c r="H14" s="49" t="s">
        <v>163</v>
      </c>
    </row>
    <row r="15" spans="2:11" x14ac:dyDescent="0.25">
      <c r="B15" s="2">
        <v>13</v>
      </c>
      <c r="C15" s="4" t="s">
        <v>108</v>
      </c>
      <c r="D15" s="5">
        <v>25000</v>
      </c>
      <c r="E15" s="41">
        <f t="shared" si="0"/>
        <v>100974250</v>
      </c>
      <c r="F15" s="4">
        <v>2</v>
      </c>
      <c r="G15" s="46">
        <f t="shared" si="1"/>
        <v>201948500</v>
      </c>
      <c r="H15" s="49" t="s">
        <v>163</v>
      </c>
    </row>
    <row r="16" spans="2:11" x14ac:dyDescent="0.25">
      <c r="B16" s="2">
        <v>14</v>
      </c>
      <c r="C16" s="4" t="s">
        <v>109</v>
      </c>
      <c r="D16" s="5">
        <v>800</v>
      </c>
      <c r="E16" s="41">
        <f t="shared" si="0"/>
        <v>3231176</v>
      </c>
      <c r="F16" s="4">
        <v>4</v>
      </c>
      <c r="G16" s="46">
        <f t="shared" si="1"/>
        <v>12924704</v>
      </c>
      <c r="H16" s="49" t="s">
        <v>163</v>
      </c>
    </row>
    <row r="17" spans="2:9" x14ac:dyDescent="0.25">
      <c r="B17" s="2">
        <v>15</v>
      </c>
      <c r="C17" s="4" t="s">
        <v>110</v>
      </c>
      <c r="D17" s="5">
        <v>300</v>
      </c>
      <c r="E17" s="41">
        <f t="shared" si="0"/>
        <v>1211691</v>
      </c>
      <c r="F17" s="4">
        <v>6</v>
      </c>
      <c r="G17" s="46">
        <f t="shared" si="1"/>
        <v>7270146</v>
      </c>
      <c r="H17" s="49" t="s">
        <v>163</v>
      </c>
    </row>
    <row r="18" spans="2:9" x14ac:dyDescent="0.25">
      <c r="B18" s="2">
        <v>16</v>
      </c>
      <c r="C18" s="4" t="s">
        <v>111</v>
      </c>
      <c r="D18" s="5">
        <v>500</v>
      </c>
      <c r="E18" s="41">
        <f t="shared" si="0"/>
        <v>2019485</v>
      </c>
      <c r="F18" s="4">
        <v>2</v>
      </c>
      <c r="G18" s="46">
        <f t="shared" si="1"/>
        <v>4038970</v>
      </c>
      <c r="H18" s="49" t="s">
        <v>160</v>
      </c>
    </row>
    <row r="19" spans="2:9" x14ac:dyDescent="0.25">
      <c r="B19" s="2">
        <v>17</v>
      </c>
      <c r="C19" s="4" t="s">
        <v>140</v>
      </c>
      <c r="D19" s="5"/>
      <c r="E19" s="41">
        <v>2000000</v>
      </c>
      <c r="F19" s="4">
        <v>1</v>
      </c>
      <c r="G19" s="46">
        <f t="shared" si="1"/>
        <v>2000000</v>
      </c>
      <c r="H19" s="49" t="s">
        <v>160</v>
      </c>
    </row>
    <row r="20" spans="2:9" x14ac:dyDescent="0.25">
      <c r="B20" s="2">
        <v>18</v>
      </c>
      <c r="C20" s="4" t="s">
        <v>141</v>
      </c>
      <c r="D20" s="5"/>
      <c r="E20" s="41">
        <v>5000000</v>
      </c>
      <c r="F20" s="4">
        <v>2</v>
      </c>
      <c r="G20" s="46">
        <f t="shared" si="1"/>
        <v>10000000</v>
      </c>
      <c r="H20" s="49" t="s">
        <v>160</v>
      </c>
    </row>
    <row r="21" spans="2:9" x14ac:dyDescent="0.25">
      <c r="B21" s="2">
        <v>19</v>
      </c>
      <c r="C21" s="4" t="s">
        <v>142</v>
      </c>
      <c r="D21" s="5">
        <v>150000</v>
      </c>
      <c r="E21" s="41">
        <f t="shared" si="0"/>
        <v>605845500</v>
      </c>
      <c r="F21" s="4">
        <v>1</v>
      </c>
      <c r="G21" s="46">
        <f t="shared" si="1"/>
        <v>605845500</v>
      </c>
      <c r="H21" s="49" t="s">
        <v>160</v>
      </c>
    </row>
    <row r="22" spans="2:9" x14ac:dyDescent="0.25">
      <c r="B22" s="2">
        <v>20</v>
      </c>
      <c r="C22" s="4" t="s">
        <v>144</v>
      </c>
      <c r="D22" s="5"/>
      <c r="E22" s="41">
        <v>200000000</v>
      </c>
      <c r="F22" s="4">
        <v>1</v>
      </c>
      <c r="G22" s="46">
        <f t="shared" si="1"/>
        <v>200000000</v>
      </c>
      <c r="H22" s="49" t="s">
        <v>164</v>
      </c>
    </row>
    <row r="23" spans="2:9" x14ac:dyDescent="0.25">
      <c r="B23" s="2">
        <v>21</v>
      </c>
      <c r="C23" s="4" t="s">
        <v>145</v>
      </c>
      <c r="D23" s="5"/>
      <c r="E23" s="41">
        <v>58000000</v>
      </c>
      <c r="F23" s="4">
        <v>1</v>
      </c>
      <c r="G23" s="46">
        <f t="shared" si="1"/>
        <v>58000000</v>
      </c>
      <c r="H23" s="49" t="s">
        <v>164</v>
      </c>
    </row>
    <row r="24" spans="2:9" x14ac:dyDescent="0.25">
      <c r="B24" s="2">
        <v>22</v>
      </c>
      <c r="C24" s="4" t="s">
        <v>146</v>
      </c>
      <c r="D24" s="5"/>
      <c r="E24" s="41">
        <v>800000</v>
      </c>
      <c r="F24" s="4">
        <v>1</v>
      </c>
      <c r="G24" s="46">
        <f t="shared" si="1"/>
        <v>800000</v>
      </c>
      <c r="H24" s="49" t="s">
        <v>162</v>
      </c>
    </row>
    <row r="25" spans="2:9" x14ac:dyDescent="0.25">
      <c r="B25" s="2">
        <v>23</v>
      </c>
      <c r="C25" s="4" t="s">
        <v>147</v>
      </c>
      <c r="D25" s="5"/>
      <c r="E25" s="41">
        <v>14000000</v>
      </c>
      <c r="F25" s="4">
        <v>1</v>
      </c>
      <c r="G25" s="46">
        <f t="shared" si="1"/>
        <v>14000000</v>
      </c>
      <c r="H25" s="49" t="s">
        <v>164</v>
      </c>
    </row>
    <row r="26" spans="2:9" x14ac:dyDescent="0.25">
      <c r="B26" s="2">
        <v>24</v>
      </c>
      <c r="C26" s="4" t="s">
        <v>148</v>
      </c>
      <c r="D26" s="5"/>
      <c r="E26" s="41">
        <v>30000000</v>
      </c>
      <c r="F26" s="4">
        <v>1</v>
      </c>
      <c r="G26" s="46">
        <f t="shared" si="1"/>
        <v>30000000</v>
      </c>
      <c r="H26" s="49" t="s">
        <v>164</v>
      </c>
    </row>
    <row r="27" spans="2:9" x14ac:dyDescent="0.25">
      <c r="B27" s="2">
        <v>25</v>
      </c>
      <c r="C27" s="4" t="s">
        <v>149</v>
      </c>
      <c r="D27" s="5"/>
      <c r="E27" s="41">
        <v>25000000</v>
      </c>
      <c r="F27" s="4">
        <v>1</v>
      </c>
      <c r="G27" s="46">
        <f t="shared" si="1"/>
        <v>25000000</v>
      </c>
      <c r="H27" s="49" t="s">
        <v>164</v>
      </c>
    </row>
    <row r="28" spans="2:9" ht="15.75" x14ac:dyDescent="0.25">
      <c r="B28" s="2">
        <v>26</v>
      </c>
      <c r="C28" s="42" t="s">
        <v>150</v>
      </c>
      <c r="D28" s="5"/>
      <c r="E28" s="41">
        <v>240000000</v>
      </c>
      <c r="F28" s="4">
        <v>1</v>
      </c>
      <c r="G28" s="46">
        <f t="shared" si="1"/>
        <v>240000000</v>
      </c>
      <c r="H28" s="49" t="s">
        <v>161</v>
      </c>
      <c r="I28" s="53"/>
    </row>
    <row r="29" spans="2:9" ht="15.75" x14ac:dyDescent="0.25">
      <c r="B29" s="2">
        <v>27</v>
      </c>
      <c r="C29" s="42" t="s">
        <v>151</v>
      </c>
      <c r="D29" s="5"/>
      <c r="E29" s="41">
        <v>200000000</v>
      </c>
      <c r="F29" s="4">
        <v>1</v>
      </c>
      <c r="G29" s="46">
        <f t="shared" si="1"/>
        <v>200000000</v>
      </c>
      <c r="H29" s="49" t="s">
        <v>161</v>
      </c>
      <c r="I29" s="53"/>
    </row>
    <row r="30" spans="2:9" x14ac:dyDescent="0.25">
      <c r="B30" s="2">
        <v>28</v>
      </c>
      <c r="C30" s="4" t="s">
        <v>152</v>
      </c>
      <c r="D30" s="5"/>
      <c r="E30" s="41">
        <v>280000000</v>
      </c>
      <c r="F30" s="4">
        <v>1</v>
      </c>
      <c r="G30" s="46">
        <f t="shared" si="1"/>
        <v>280000000</v>
      </c>
      <c r="H30" s="49" t="s">
        <v>161</v>
      </c>
      <c r="I30" s="53"/>
    </row>
    <row r="31" spans="2:9" x14ac:dyDescent="0.25">
      <c r="B31" s="2">
        <v>29</v>
      </c>
      <c r="C31" s="4" t="s">
        <v>153</v>
      </c>
      <c r="D31" s="5"/>
      <c r="E31" s="41">
        <v>16000000</v>
      </c>
      <c r="F31" s="4">
        <v>1</v>
      </c>
      <c r="G31" s="46">
        <f t="shared" si="1"/>
        <v>16000000</v>
      </c>
      <c r="H31" s="49" t="s">
        <v>161</v>
      </c>
      <c r="I31" s="53"/>
    </row>
    <row r="32" spans="2:9" x14ac:dyDescent="0.25">
      <c r="B32" s="2">
        <v>30</v>
      </c>
      <c r="C32" s="4" t="s">
        <v>154</v>
      </c>
      <c r="D32" s="5"/>
      <c r="E32" s="41">
        <v>12000000</v>
      </c>
      <c r="F32" s="4">
        <v>1</v>
      </c>
      <c r="G32" s="46">
        <f t="shared" si="1"/>
        <v>12000000</v>
      </c>
      <c r="H32" s="49" t="s">
        <v>164</v>
      </c>
    </row>
    <row r="33" spans="2:14" x14ac:dyDescent="0.25">
      <c r="B33" s="2">
        <v>31</v>
      </c>
      <c r="C33" s="4" t="s">
        <v>155</v>
      </c>
      <c r="D33" s="5"/>
      <c r="E33" s="41">
        <v>800000</v>
      </c>
      <c r="F33" s="4">
        <v>1</v>
      </c>
      <c r="G33" s="46">
        <f t="shared" si="1"/>
        <v>800000</v>
      </c>
      <c r="H33" s="49" t="s">
        <v>164</v>
      </c>
    </row>
    <row r="34" spans="2:14" x14ac:dyDescent="0.25">
      <c r="B34" s="2">
        <v>32</v>
      </c>
      <c r="C34" s="4" t="s">
        <v>156</v>
      </c>
      <c r="D34" s="5"/>
      <c r="E34" s="41">
        <v>4500000</v>
      </c>
      <c r="F34" s="4">
        <v>1</v>
      </c>
      <c r="G34" s="46">
        <f t="shared" si="1"/>
        <v>4500000</v>
      </c>
      <c r="H34" s="49" t="s">
        <v>164</v>
      </c>
    </row>
    <row r="35" spans="2:14" x14ac:dyDescent="0.25">
      <c r="B35" s="2"/>
      <c r="C35" s="4" t="s">
        <v>27</v>
      </c>
      <c r="D35" s="5"/>
      <c r="E35" s="41"/>
      <c r="F35" s="4"/>
      <c r="G35" s="46">
        <f>SUM(G3:G34)</f>
        <v>4038811268.71</v>
      </c>
      <c r="H35" s="49"/>
    </row>
    <row r="37" spans="2:14" x14ac:dyDescent="0.25">
      <c r="B37" s="88" t="s">
        <v>260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</row>
    <row r="38" spans="2:14" x14ac:dyDescent="0.25">
      <c r="B38" s="3" t="s">
        <v>165</v>
      </c>
      <c r="C38" s="3" t="s">
        <v>0</v>
      </c>
      <c r="D38" s="48" t="s">
        <v>166</v>
      </c>
      <c r="E38" s="3" t="s">
        <v>3</v>
      </c>
      <c r="F38" s="3" t="s">
        <v>167</v>
      </c>
      <c r="G38" s="45" t="s">
        <v>168</v>
      </c>
      <c r="H38" s="48" t="s">
        <v>169</v>
      </c>
      <c r="I38" s="48" t="s">
        <v>170</v>
      </c>
      <c r="J38" s="48" t="s">
        <v>171</v>
      </c>
      <c r="K38" s="48" t="s">
        <v>172</v>
      </c>
      <c r="L38" s="48" t="s">
        <v>173</v>
      </c>
      <c r="M38" s="48" t="s">
        <v>174</v>
      </c>
      <c r="N38" s="48" t="s">
        <v>4</v>
      </c>
    </row>
    <row r="39" spans="2:14" x14ac:dyDescent="0.25">
      <c r="B39" s="2">
        <v>1</v>
      </c>
      <c r="C39" s="4" t="s">
        <v>57</v>
      </c>
      <c r="D39" s="49">
        <v>2120459</v>
      </c>
      <c r="E39" s="4">
        <v>14</v>
      </c>
      <c r="F39" s="4"/>
      <c r="G39" s="46">
        <v>212046</v>
      </c>
      <c r="H39" s="49">
        <v>106023</v>
      </c>
      <c r="I39" s="49">
        <v>21205</v>
      </c>
      <c r="J39" s="49">
        <v>10602</v>
      </c>
      <c r="K39" s="49">
        <v>463320</v>
      </c>
      <c r="L39" s="49">
        <v>106023</v>
      </c>
      <c r="M39" s="49">
        <v>3039678</v>
      </c>
      <c r="N39" s="49">
        <v>42555492</v>
      </c>
    </row>
    <row r="40" spans="2:14" x14ac:dyDescent="0.25">
      <c r="B40" s="2">
        <v>2</v>
      </c>
      <c r="C40" s="4" t="s">
        <v>175</v>
      </c>
      <c r="D40" s="49">
        <v>282727900</v>
      </c>
      <c r="E40" s="4">
        <v>1</v>
      </c>
      <c r="F40" s="4" t="s">
        <v>159</v>
      </c>
      <c r="G40" s="46">
        <v>28272790</v>
      </c>
      <c r="H40" s="49">
        <v>14136395</v>
      </c>
      <c r="I40" s="49">
        <v>2827279</v>
      </c>
      <c r="J40" s="49">
        <v>1413640</v>
      </c>
      <c r="K40" s="49">
        <v>61776046</v>
      </c>
      <c r="L40" s="49">
        <v>14136395</v>
      </c>
      <c r="M40" s="49">
        <v>405290445</v>
      </c>
      <c r="N40" s="49">
        <v>405290445</v>
      </c>
    </row>
    <row r="41" spans="2:14" x14ac:dyDescent="0.25">
      <c r="B41" s="2">
        <v>3</v>
      </c>
      <c r="C41" s="4" t="s">
        <v>49</v>
      </c>
      <c r="D41" s="49">
        <v>484676400</v>
      </c>
      <c r="E41" s="4">
        <v>1</v>
      </c>
      <c r="F41" s="4" t="s">
        <v>160</v>
      </c>
      <c r="G41" s="46">
        <v>48467640</v>
      </c>
      <c r="H41" s="49">
        <v>24233820</v>
      </c>
      <c r="I41" s="49">
        <v>4846764</v>
      </c>
      <c r="J41" s="49">
        <v>2423382</v>
      </c>
      <c r="K41" s="49">
        <v>105901793</v>
      </c>
      <c r="L41" s="49">
        <v>24233820</v>
      </c>
      <c r="M41" s="49">
        <v>694783619</v>
      </c>
      <c r="N41" s="49">
        <v>694783619</v>
      </c>
    </row>
    <row r="42" spans="2:14" x14ac:dyDescent="0.25">
      <c r="B42" s="2">
        <v>4</v>
      </c>
      <c r="C42" s="4" t="s">
        <v>50</v>
      </c>
      <c r="D42" s="49">
        <v>525066100</v>
      </c>
      <c r="E42" s="4">
        <v>1</v>
      </c>
      <c r="F42" s="4" t="s">
        <v>160</v>
      </c>
      <c r="G42" s="46">
        <v>52506610</v>
      </c>
      <c r="H42" s="49">
        <v>26253305</v>
      </c>
      <c r="I42" s="49">
        <v>5250661</v>
      </c>
      <c r="J42" s="49">
        <v>2625331</v>
      </c>
      <c r="K42" s="49">
        <v>114726943</v>
      </c>
      <c r="L42" s="49">
        <v>26253305</v>
      </c>
      <c r="M42" s="49">
        <v>752682254</v>
      </c>
      <c r="N42" s="49">
        <v>752682254</v>
      </c>
    </row>
    <row r="43" spans="2:14" x14ac:dyDescent="0.25">
      <c r="B43" s="2">
        <v>5</v>
      </c>
      <c r="C43" s="4" t="s">
        <v>176</v>
      </c>
      <c r="D43" s="49">
        <v>484676400</v>
      </c>
      <c r="E43" s="4">
        <v>1</v>
      </c>
      <c r="F43" s="4" t="s">
        <v>177</v>
      </c>
      <c r="G43" s="46">
        <v>48467640</v>
      </c>
      <c r="H43" s="49">
        <v>24233820</v>
      </c>
      <c r="I43" s="49">
        <v>4846764</v>
      </c>
      <c r="J43" s="49">
        <v>2423382</v>
      </c>
      <c r="K43" s="49">
        <v>105901793</v>
      </c>
      <c r="L43" s="49">
        <v>24233820</v>
      </c>
      <c r="M43" s="49">
        <v>694783619</v>
      </c>
      <c r="N43" s="49">
        <v>694783619</v>
      </c>
    </row>
    <row r="44" spans="2:14" x14ac:dyDescent="0.25">
      <c r="B44" s="2">
        <v>6</v>
      </c>
      <c r="C44" s="4" t="s">
        <v>178</v>
      </c>
      <c r="D44" s="49">
        <v>1110717</v>
      </c>
      <c r="E44" s="4">
        <v>1</v>
      </c>
      <c r="F44" s="4" t="s">
        <v>160</v>
      </c>
      <c r="G44" s="46">
        <v>111072</v>
      </c>
      <c r="H44" s="49">
        <v>55536</v>
      </c>
      <c r="I44" s="49">
        <v>11107</v>
      </c>
      <c r="J44" s="49">
        <v>5553</v>
      </c>
      <c r="K44" s="49">
        <v>242692</v>
      </c>
      <c r="L44" s="49">
        <v>55536</v>
      </c>
      <c r="M44" s="49">
        <v>1592213</v>
      </c>
      <c r="N44" s="49">
        <v>1592213</v>
      </c>
    </row>
    <row r="45" spans="2:14" x14ac:dyDescent="0.25">
      <c r="B45" s="2">
        <v>7</v>
      </c>
      <c r="C45" s="4" t="s">
        <v>51</v>
      </c>
      <c r="D45" s="49">
        <v>2000000</v>
      </c>
      <c r="E45" s="4">
        <v>10</v>
      </c>
      <c r="F45" s="4" t="s">
        <v>162</v>
      </c>
      <c r="G45" s="46">
        <v>0</v>
      </c>
      <c r="H45" s="49">
        <v>0</v>
      </c>
      <c r="I45" s="49">
        <v>0</v>
      </c>
      <c r="J45" s="49">
        <v>0</v>
      </c>
      <c r="K45" s="49">
        <v>380000</v>
      </c>
      <c r="L45" s="49">
        <v>0</v>
      </c>
      <c r="M45" s="49">
        <v>2380000</v>
      </c>
      <c r="N45" s="49">
        <v>23800000</v>
      </c>
    </row>
    <row r="46" spans="2:14" x14ac:dyDescent="0.25">
      <c r="B46" s="2">
        <v>8</v>
      </c>
      <c r="C46" s="4" t="s">
        <v>179</v>
      </c>
      <c r="D46" s="49">
        <v>460443</v>
      </c>
      <c r="E46" s="4">
        <v>1</v>
      </c>
      <c r="F46" s="4" t="s">
        <v>160</v>
      </c>
      <c r="G46" s="46">
        <v>46044</v>
      </c>
      <c r="H46" s="49">
        <v>23022</v>
      </c>
      <c r="I46" s="49">
        <v>4604</v>
      </c>
      <c r="J46" s="49">
        <v>2302</v>
      </c>
      <c r="K46" s="49">
        <v>100607</v>
      </c>
      <c r="L46" s="49">
        <v>23022</v>
      </c>
      <c r="M46" s="49">
        <v>660045</v>
      </c>
      <c r="N46" s="49">
        <v>660045</v>
      </c>
    </row>
    <row r="47" spans="2:14" x14ac:dyDescent="0.25">
      <c r="B47" s="2">
        <v>9</v>
      </c>
      <c r="C47" s="4" t="s">
        <v>180</v>
      </c>
      <c r="D47" s="49">
        <v>6866249</v>
      </c>
      <c r="E47" s="4">
        <v>9</v>
      </c>
      <c r="F47" s="4" t="s">
        <v>160</v>
      </c>
      <c r="G47" s="46">
        <v>686625</v>
      </c>
      <c r="H47" s="49">
        <v>343312</v>
      </c>
      <c r="I47" s="49">
        <v>68662</v>
      </c>
      <c r="J47" s="49">
        <v>34331</v>
      </c>
      <c r="K47" s="49">
        <v>1500275</v>
      </c>
      <c r="L47" s="49">
        <v>343312</v>
      </c>
      <c r="M47" s="49">
        <v>9842768</v>
      </c>
      <c r="N47" s="49">
        <v>88584911</v>
      </c>
    </row>
    <row r="48" spans="2:14" x14ac:dyDescent="0.25">
      <c r="B48" s="2">
        <v>10</v>
      </c>
      <c r="C48" s="4" t="s">
        <v>59</v>
      </c>
      <c r="D48" s="49">
        <v>5000000</v>
      </c>
      <c r="E48" s="4">
        <v>5</v>
      </c>
      <c r="F48" s="4" t="s">
        <v>163</v>
      </c>
      <c r="G48" s="46">
        <v>500000</v>
      </c>
      <c r="H48" s="49">
        <v>250000</v>
      </c>
      <c r="I48" s="49">
        <v>50000</v>
      </c>
      <c r="J48" s="49">
        <v>25000</v>
      </c>
      <c r="K48" s="49">
        <v>1092500</v>
      </c>
      <c r="L48" s="49">
        <v>250000</v>
      </c>
      <c r="M48" s="49">
        <v>7167500</v>
      </c>
      <c r="N48" s="49">
        <v>35837500</v>
      </c>
    </row>
    <row r="49" spans="2:14" x14ac:dyDescent="0.25">
      <c r="B49" s="2">
        <v>11</v>
      </c>
      <c r="C49" s="4" t="s">
        <v>60</v>
      </c>
      <c r="D49" s="49">
        <v>1000000</v>
      </c>
      <c r="E49" s="4">
        <v>5</v>
      </c>
      <c r="F49" s="4" t="s">
        <v>163</v>
      </c>
      <c r="G49" s="46">
        <v>100000</v>
      </c>
      <c r="H49" s="49">
        <v>50000</v>
      </c>
      <c r="I49" s="49">
        <v>10000</v>
      </c>
      <c r="J49" s="49">
        <v>5000</v>
      </c>
      <c r="K49" s="49">
        <v>218500</v>
      </c>
      <c r="L49" s="49">
        <v>50000</v>
      </c>
      <c r="M49" s="49">
        <v>1433500</v>
      </c>
      <c r="N49" s="49">
        <v>7167500</v>
      </c>
    </row>
    <row r="50" spans="2:14" x14ac:dyDescent="0.25">
      <c r="B50" s="2">
        <v>12</v>
      </c>
      <c r="C50" s="4" t="s">
        <v>181</v>
      </c>
      <c r="D50" s="49">
        <v>16123568</v>
      </c>
      <c r="E50" s="4">
        <v>12</v>
      </c>
      <c r="F50" s="4" t="s">
        <v>163</v>
      </c>
      <c r="G50" s="46">
        <v>1612357</v>
      </c>
      <c r="H50" s="49">
        <v>806178</v>
      </c>
      <c r="I50" s="49">
        <v>161236</v>
      </c>
      <c r="J50" s="49">
        <v>80618</v>
      </c>
      <c r="K50" s="49">
        <v>3523000</v>
      </c>
      <c r="L50" s="49">
        <v>806178</v>
      </c>
      <c r="M50" s="49">
        <v>22613135</v>
      </c>
      <c r="N50" s="49">
        <v>271357620</v>
      </c>
    </row>
    <row r="51" spans="2:14" x14ac:dyDescent="0.25">
      <c r="B51" s="2">
        <v>13</v>
      </c>
      <c r="C51" s="4" t="s">
        <v>182</v>
      </c>
      <c r="D51" s="49">
        <v>100974250</v>
      </c>
      <c r="E51" s="4">
        <v>2</v>
      </c>
      <c r="F51" s="4" t="s">
        <v>163</v>
      </c>
      <c r="G51" s="46">
        <v>10097425</v>
      </c>
      <c r="H51" s="49">
        <v>5048712</v>
      </c>
      <c r="I51" s="49">
        <v>1009742</v>
      </c>
      <c r="J51" s="49">
        <v>504871</v>
      </c>
      <c r="K51" s="49">
        <v>22062874</v>
      </c>
      <c r="L51" s="49">
        <v>5048712</v>
      </c>
      <c r="M51" s="49">
        <v>144746586</v>
      </c>
      <c r="N51" s="49">
        <v>289493172</v>
      </c>
    </row>
    <row r="52" spans="2:14" x14ac:dyDescent="0.25">
      <c r="B52" s="2">
        <v>14</v>
      </c>
      <c r="C52" s="4" t="s">
        <v>183</v>
      </c>
      <c r="D52" s="49">
        <v>3231176</v>
      </c>
      <c r="E52" s="4">
        <v>4</v>
      </c>
      <c r="F52" s="4" t="s">
        <v>163</v>
      </c>
      <c r="G52" s="46">
        <v>323118</v>
      </c>
      <c r="H52" s="49">
        <v>161559</v>
      </c>
      <c r="I52" s="49">
        <v>32312</v>
      </c>
      <c r="J52" s="49">
        <v>16156</v>
      </c>
      <c r="K52" s="49">
        <v>706012</v>
      </c>
      <c r="L52" s="49">
        <v>161559</v>
      </c>
      <c r="M52" s="49">
        <v>4631891</v>
      </c>
      <c r="N52" s="49">
        <v>18527564</v>
      </c>
    </row>
    <row r="53" spans="2:14" x14ac:dyDescent="0.25">
      <c r="B53" s="2">
        <v>15</v>
      </c>
      <c r="C53" s="4" t="s">
        <v>184</v>
      </c>
      <c r="D53" s="49">
        <v>1211691</v>
      </c>
      <c r="E53" s="4">
        <v>6</v>
      </c>
      <c r="F53" s="4" t="s">
        <v>163</v>
      </c>
      <c r="G53" s="46">
        <v>121169</v>
      </c>
      <c r="H53" s="49">
        <v>60584</v>
      </c>
      <c r="I53" s="49">
        <v>12117</v>
      </c>
      <c r="J53" s="49">
        <v>6058</v>
      </c>
      <c r="K53" s="49">
        <v>264534</v>
      </c>
      <c r="L53" s="49">
        <v>60584</v>
      </c>
      <c r="M53" s="49">
        <v>1736737</v>
      </c>
      <c r="N53" s="49">
        <v>10420422</v>
      </c>
    </row>
    <row r="54" spans="2:14" x14ac:dyDescent="0.25">
      <c r="B54" s="2">
        <v>16</v>
      </c>
      <c r="C54" s="4" t="s">
        <v>111</v>
      </c>
      <c r="D54" s="49">
        <v>2019485</v>
      </c>
      <c r="E54" s="4">
        <v>2</v>
      </c>
      <c r="F54" s="4" t="s">
        <v>160</v>
      </c>
      <c r="G54" s="46">
        <v>201949</v>
      </c>
      <c r="H54" s="49">
        <v>100974</v>
      </c>
      <c r="I54" s="49">
        <v>20195</v>
      </c>
      <c r="J54" s="49">
        <v>10097</v>
      </c>
      <c r="K54" s="49">
        <v>440263</v>
      </c>
      <c r="L54" s="49">
        <v>100974</v>
      </c>
      <c r="M54" s="49">
        <v>2893939</v>
      </c>
      <c r="N54" s="49">
        <v>5787878</v>
      </c>
    </row>
    <row r="55" spans="2:14" x14ac:dyDescent="0.25">
      <c r="B55" s="2">
        <v>17</v>
      </c>
      <c r="C55" s="4" t="s">
        <v>185</v>
      </c>
      <c r="D55" s="49">
        <v>2000000</v>
      </c>
      <c r="E55" s="4">
        <v>1</v>
      </c>
      <c r="F55" s="4" t="s">
        <v>160</v>
      </c>
      <c r="G55" s="46">
        <v>200000</v>
      </c>
      <c r="H55" s="49">
        <v>100000</v>
      </c>
      <c r="I55" s="49">
        <v>20000</v>
      </c>
      <c r="J55" s="49">
        <v>10000</v>
      </c>
      <c r="K55" s="49">
        <v>436100</v>
      </c>
      <c r="L55" s="49">
        <v>100000</v>
      </c>
      <c r="M55" s="49">
        <v>2866100</v>
      </c>
      <c r="N55" s="49">
        <v>2866100</v>
      </c>
    </row>
    <row r="56" spans="2:14" x14ac:dyDescent="0.25">
      <c r="B56" s="2">
        <v>18</v>
      </c>
      <c r="C56" s="4" t="s">
        <v>141</v>
      </c>
      <c r="D56" s="49">
        <v>5000000</v>
      </c>
      <c r="E56" s="4">
        <v>2</v>
      </c>
      <c r="F56" s="4" t="s">
        <v>160</v>
      </c>
      <c r="G56" s="46">
        <v>500000</v>
      </c>
      <c r="H56" s="49">
        <v>250000</v>
      </c>
      <c r="I56" s="49">
        <v>50000</v>
      </c>
      <c r="J56" s="49">
        <v>25000</v>
      </c>
      <c r="K56" s="49">
        <v>1092500</v>
      </c>
      <c r="L56" s="49">
        <v>250000</v>
      </c>
      <c r="M56" s="49">
        <v>7167500</v>
      </c>
      <c r="N56" s="49">
        <v>14335000</v>
      </c>
    </row>
    <row r="57" spans="2:14" x14ac:dyDescent="0.25">
      <c r="B57" s="2">
        <v>19</v>
      </c>
      <c r="C57" s="4" t="s">
        <v>186</v>
      </c>
      <c r="D57" s="49">
        <v>605845500</v>
      </c>
      <c r="E57" s="4">
        <v>1</v>
      </c>
      <c r="F57" s="4" t="s">
        <v>160</v>
      </c>
      <c r="G57" s="46">
        <v>60584550</v>
      </c>
      <c r="H57" s="49">
        <v>30292275</v>
      </c>
      <c r="I57" s="49">
        <v>6058455</v>
      </c>
      <c r="J57" s="49">
        <v>3029228</v>
      </c>
      <c r="K57" s="49">
        <v>132111640</v>
      </c>
      <c r="L57" s="49">
        <v>30292275</v>
      </c>
      <c r="M57" s="49">
        <v>868913953</v>
      </c>
      <c r="N57" s="49">
        <v>868913953</v>
      </c>
    </row>
    <row r="58" spans="2:14" x14ac:dyDescent="0.25">
      <c r="B58" s="2">
        <v>20</v>
      </c>
      <c r="C58" s="4" t="s">
        <v>144</v>
      </c>
      <c r="D58" s="49">
        <v>200000000</v>
      </c>
      <c r="E58" s="4">
        <v>1</v>
      </c>
      <c r="F58" s="4" t="s">
        <v>164</v>
      </c>
      <c r="G58" s="46">
        <v>20000000</v>
      </c>
      <c r="H58" s="49">
        <v>10000000</v>
      </c>
      <c r="I58" s="49">
        <v>2000000</v>
      </c>
      <c r="J58" s="49">
        <v>1000000</v>
      </c>
      <c r="K58" s="49">
        <v>43700000</v>
      </c>
      <c r="L58" s="49">
        <v>10000000</v>
      </c>
      <c r="M58" s="49">
        <v>286700000</v>
      </c>
      <c r="N58" s="49">
        <v>286700000</v>
      </c>
    </row>
    <row r="59" spans="2:14" x14ac:dyDescent="0.25">
      <c r="B59" s="2">
        <v>21</v>
      </c>
      <c r="C59" s="4" t="s">
        <v>187</v>
      </c>
      <c r="D59" s="49">
        <v>58000000</v>
      </c>
      <c r="E59" s="4">
        <v>1</v>
      </c>
      <c r="F59" s="4" t="s">
        <v>164</v>
      </c>
      <c r="G59" s="46">
        <v>5800000</v>
      </c>
      <c r="H59" s="49">
        <v>2900000</v>
      </c>
      <c r="I59" s="49">
        <v>580000</v>
      </c>
      <c r="J59" s="49">
        <v>290000</v>
      </c>
      <c r="K59" s="49">
        <v>12673000</v>
      </c>
      <c r="L59" s="49">
        <v>2900000</v>
      </c>
      <c r="M59" s="49">
        <v>83143000</v>
      </c>
      <c r="N59" s="49">
        <v>83143000</v>
      </c>
    </row>
    <row r="60" spans="2:14" x14ac:dyDescent="0.25">
      <c r="B60" s="2">
        <v>22</v>
      </c>
      <c r="C60" s="4" t="s">
        <v>188</v>
      </c>
      <c r="D60" s="49">
        <v>800000</v>
      </c>
      <c r="E60" s="4">
        <v>1</v>
      </c>
      <c r="F60" s="4" t="s">
        <v>162</v>
      </c>
      <c r="G60" s="46">
        <v>0</v>
      </c>
      <c r="H60" s="49">
        <v>0</v>
      </c>
      <c r="I60" s="49">
        <v>0</v>
      </c>
      <c r="J60" s="49">
        <v>0</v>
      </c>
      <c r="K60" s="49">
        <v>152000</v>
      </c>
      <c r="L60" s="49">
        <v>0</v>
      </c>
      <c r="M60" s="49">
        <v>952000</v>
      </c>
      <c r="N60" s="49">
        <v>952000</v>
      </c>
    </row>
    <row r="61" spans="2:14" x14ac:dyDescent="0.25">
      <c r="B61" s="2">
        <v>23</v>
      </c>
      <c r="C61" s="4" t="s">
        <v>189</v>
      </c>
      <c r="D61" s="49">
        <v>14000000</v>
      </c>
      <c r="E61" s="4">
        <v>1</v>
      </c>
      <c r="F61" s="4" t="s">
        <v>164</v>
      </c>
      <c r="G61" s="46">
        <v>1400000</v>
      </c>
      <c r="H61" s="49">
        <v>700000</v>
      </c>
      <c r="I61" s="49">
        <v>140000</v>
      </c>
      <c r="J61" s="49">
        <v>70000</v>
      </c>
      <c r="K61" s="49">
        <v>3059000</v>
      </c>
      <c r="L61" s="49">
        <v>700000</v>
      </c>
      <c r="M61" s="49">
        <v>20069000</v>
      </c>
      <c r="N61" s="49">
        <v>20069000</v>
      </c>
    </row>
    <row r="62" spans="2:14" x14ac:dyDescent="0.25">
      <c r="B62" s="2">
        <v>24</v>
      </c>
      <c r="C62" s="4" t="s">
        <v>190</v>
      </c>
      <c r="D62" s="49">
        <v>30000000</v>
      </c>
      <c r="E62" s="4">
        <v>1</v>
      </c>
      <c r="F62" s="4" t="s">
        <v>164</v>
      </c>
      <c r="G62" s="46">
        <v>3000000</v>
      </c>
      <c r="H62" s="49">
        <v>1500000</v>
      </c>
      <c r="I62" s="49">
        <v>300000</v>
      </c>
      <c r="J62" s="49">
        <v>150000</v>
      </c>
      <c r="K62" s="49">
        <v>6555000</v>
      </c>
      <c r="L62" s="49">
        <v>1500000</v>
      </c>
      <c r="M62" s="49">
        <v>43005000</v>
      </c>
      <c r="N62" s="49">
        <v>43005000</v>
      </c>
    </row>
    <row r="63" spans="2:14" x14ac:dyDescent="0.25">
      <c r="B63" s="2">
        <v>25</v>
      </c>
      <c r="C63" s="4" t="s">
        <v>149</v>
      </c>
      <c r="D63" s="49">
        <v>25000000</v>
      </c>
      <c r="E63" s="4">
        <v>1</v>
      </c>
      <c r="F63" s="4" t="s">
        <v>164</v>
      </c>
      <c r="G63" s="46">
        <v>2500000</v>
      </c>
      <c r="H63" s="49">
        <v>1250000</v>
      </c>
      <c r="I63" s="49">
        <v>250000</v>
      </c>
      <c r="J63" s="49">
        <v>125000</v>
      </c>
      <c r="K63" s="49">
        <v>5462500</v>
      </c>
      <c r="L63" s="49">
        <v>1250000</v>
      </c>
      <c r="M63" s="49">
        <v>35837500</v>
      </c>
      <c r="N63" s="49">
        <v>35837500</v>
      </c>
    </row>
    <row r="64" spans="2:14" x14ac:dyDescent="0.25">
      <c r="B64" s="2">
        <v>26</v>
      </c>
      <c r="C64" s="4" t="s">
        <v>150</v>
      </c>
      <c r="D64" s="49">
        <v>240000000</v>
      </c>
      <c r="E64" s="4">
        <v>1</v>
      </c>
      <c r="F64" s="4" t="s">
        <v>177</v>
      </c>
      <c r="G64" s="46">
        <v>24000000</v>
      </c>
      <c r="H64" s="49">
        <v>12000000</v>
      </c>
      <c r="I64" s="49">
        <v>2400000</v>
      </c>
      <c r="J64" s="49">
        <v>1200000</v>
      </c>
      <c r="K64" s="49">
        <v>52440000</v>
      </c>
      <c r="L64" s="49">
        <v>12000000</v>
      </c>
      <c r="M64" s="49">
        <v>344040000</v>
      </c>
      <c r="N64" s="49">
        <v>344040000</v>
      </c>
    </row>
    <row r="65" spans="2:14" x14ac:dyDescent="0.25">
      <c r="B65" s="2">
        <v>27</v>
      </c>
      <c r="C65" s="4" t="s">
        <v>191</v>
      </c>
      <c r="D65" s="49">
        <v>200000000</v>
      </c>
      <c r="E65" s="4">
        <v>1</v>
      </c>
      <c r="F65" s="4" t="s">
        <v>177</v>
      </c>
      <c r="G65" s="46">
        <v>20000000</v>
      </c>
      <c r="H65" s="49">
        <v>10000000</v>
      </c>
      <c r="I65" s="49">
        <v>2000000</v>
      </c>
      <c r="J65" s="49">
        <v>1000000</v>
      </c>
      <c r="K65" s="49">
        <v>43700000</v>
      </c>
      <c r="L65" s="49">
        <v>10000000</v>
      </c>
      <c r="M65" s="49">
        <v>286700000</v>
      </c>
      <c r="N65" s="49">
        <v>286700000</v>
      </c>
    </row>
    <row r="66" spans="2:14" x14ac:dyDescent="0.25">
      <c r="B66" s="2">
        <v>28</v>
      </c>
      <c r="C66" s="4" t="s">
        <v>152</v>
      </c>
      <c r="D66" s="49">
        <v>280000000</v>
      </c>
      <c r="E66" s="4">
        <v>1</v>
      </c>
      <c r="F66" s="4" t="s">
        <v>177</v>
      </c>
      <c r="G66" s="46">
        <v>28000000</v>
      </c>
      <c r="H66" s="49">
        <v>14000000</v>
      </c>
      <c r="I66" s="49">
        <v>2800000</v>
      </c>
      <c r="J66" s="49">
        <v>1400000</v>
      </c>
      <c r="K66" s="49">
        <v>61180000</v>
      </c>
      <c r="L66" s="49">
        <v>14000000</v>
      </c>
      <c r="M66" s="49">
        <v>401380000</v>
      </c>
      <c r="N66" s="49">
        <v>401380000</v>
      </c>
    </row>
    <row r="67" spans="2:14" x14ac:dyDescent="0.25">
      <c r="B67" s="2">
        <v>29</v>
      </c>
      <c r="C67" s="4" t="s">
        <v>192</v>
      </c>
      <c r="D67" s="49">
        <v>16000000</v>
      </c>
      <c r="E67" s="4">
        <v>1</v>
      </c>
      <c r="F67" s="4" t="s">
        <v>177</v>
      </c>
      <c r="G67" s="46">
        <v>1600000</v>
      </c>
      <c r="H67" s="49">
        <v>800000</v>
      </c>
      <c r="I67" s="49">
        <v>160000</v>
      </c>
      <c r="J67" s="49">
        <v>80000</v>
      </c>
      <c r="K67" s="49">
        <v>3496000</v>
      </c>
      <c r="L67" s="49">
        <v>800000</v>
      </c>
      <c r="M67" s="49">
        <v>22936000</v>
      </c>
      <c r="N67" s="49">
        <v>22936000</v>
      </c>
    </row>
    <row r="68" spans="2:14" x14ac:dyDescent="0.25">
      <c r="B68" s="2">
        <v>30</v>
      </c>
      <c r="C68" s="4" t="s">
        <v>154</v>
      </c>
      <c r="D68" s="49">
        <v>12000000</v>
      </c>
      <c r="E68" s="4">
        <v>1</v>
      </c>
      <c r="F68" s="4" t="s">
        <v>164</v>
      </c>
      <c r="G68" s="46">
        <v>1200000</v>
      </c>
      <c r="H68" s="49">
        <v>600000</v>
      </c>
      <c r="I68" s="49">
        <v>120000</v>
      </c>
      <c r="J68" s="49">
        <v>60000</v>
      </c>
      <c r="K68" s="49">
        <v>2622000</v>
      </c>
      <c r="L68" s="49">
        <v>600000</v>
      </c>
      <c r="M68" s="49">
        <v>17202000</v>
      </c>
      <c r="N68" s="49">
        <v>17202000</v>
      </c>
    </row>
    <row r="69" spans="2:14" x14ac:dyDescent="0.25">
      <c r="B69" s="2">
        <v>31</v>
      </c>
      <c r="C69" s="4" t="s">
        <v>193</v>
      </c>
      <c r="D69" s="49">
        <v>800000</v>
      </c>
      <c r="E69" s="4">
        <v>1</v>
      </c>
      <c r="F69" s="4" t="s">
        <v>164</v>
      </c>
      <c r="G69" s="46">
        <v>80000</v>
      </c>
      <c r="H69" s="49">
        <v>40000</v>
      </c>
      <c r="I69" s="49">
        <v>8000</v>
      </c>
      <c r="J69" s="49">
        <v>4000</v>
      </c>
      <c r="K69" s="49">
        <v>174800</v>
      </c>
      <c r="L69" s="49">
        <v>40000</v>
      </c>
      <c r="M69" s="49">
        <v>1146800</v>
      </c>
      <c r="N69" s="49">
        <v>1146800</v>
      </c>
    </row>
    <row r="70" spans="2:14" x14ac:dyDescent="0.25">
      <c r="B70" s="2">
        <v>32</v>
      </c>
      <c r="C70" s="4" t="s">
        <v>156</v>
      </c>
      <c r="D70" s="49">
        <v>4500000</v>
      </c>
      <c r="E70" s="4">
        <v>1</v>
      </c>
      <c r="F70" s="4" t="s">
        <v>164</v>
      </c>
      <c r="G70" s="46">
        <v>450000</v>
      </c>
      <c r="H70" s="49">
        <v>225000</v>
      </c>
      <c r="I70" s="49">
        <v>45000</v>
      </c>
      <c r="J70" s="49">
        <v>22500</v>
      </c>
      <c r="K70" s="49">
        <v>983250</v>
      </c>
      <c r="L70" s="49">
        <v>225000</v>
      </c>
      <c r="M70" s="49">
        <v>6450750</v>
      </c>
      <c r="N70" s="49">
        <v>6450750</v>
      </c>
    </row>
    <row r="71" spans="2:14" x14ac:dyDescent="0.25">
      <c r="B71" s="2"/>
      <c r="C71" s="4" t="s">
        <v>27</v>
      </c>
      <c r="D71" s="49"/>
      <c r="E71" s="4"/>
      <c r="F71" s="4"/>
      <c r="G71" s="46"/>
      <c r="H71" s="49"/>
      <c r="I71" s="49"/>
      <c r="J71" s="49"/>
      <c r="K71" s="49"/>
      <c r="L71" s="49"/>
      <c r="M71" s="49"/>
      <c r="N71" s="49">
        <v>5779001357</v>
      </c>
    </row>
  </sheetData>
  <mergeCells count="1">
    <mergeCell ref="B37:N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70D3-5606-4BFA-8A2D-AFE396D65BAF}">
  <dimension ref="A1:M19"/>
  <sheetViews>
    <sheetView workbookViewId="0">
      <selection sqref="A1:M8"/>
    </sheetView>
  </sheetViews>
  <sheetFormatPr baseColWidth="10" defaultRowHeight="15" x14ac:dyDescent="0.25"/>
  <cols>
    <col min="1" max="1" width="16.42578125" bestFit="1" customWidth="1"/>
    <col min="2" max="2" width="20.7109375" bestFit="1" customWidth="1"/>
    <col min="3" max="3" width="11.7109375" bestFit="1" customWidth="1"/>
    <col min="6" max="6" width="16.140625" bestFit="1" customWidth="1"/>
    <col min="8" max="8" width="19.28515625" bestFit="1" customWidth="1"/>
    <col min="11" max="11" width="20.7109375" bestFit="1" customWidth="1"/>
    <col min="12" max="12" width="19.85546875" bestFit="1" customWidth="1"/>
    <col min="13" max="13" width="17.85546875" bestFit="1" customWidth="1"/>
  </cols>
  <sheetData>
    <row r="1" spans="1:13" x14ac:dyDescent="0.25">
      <c r="A1" s="74" t="s">
        <v>341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x14ac:dyDescent="0.25">
      <c r="A2" s="44" t="s">
        <v>247</v>
      </c>
      <c r="B2" s="44" t="s">
        <v>248</v>
      </c>
      <c r="C2" s="44" t="s">
        <v>249</v>
      </c>
      <c r="D2" s="44" t="s">
        <v>250</v>
      </c>
      <c r="E2" s="44" t="s">
        <v>251</v>
      </c>
      <c r="F2" s="44" t="s">
        <v>252</v>
      </c>
      <c r="G2" s="44" t="s">
        <v>253</v>
      </c>
      <c r="H2" s="44" t="s">
        <v>254</v>
      </c>
      <c r="I2" s="44" t="s">
        <v>255</v>
      </c>
      <c r="J2" s="44" t="s">
        <v>256</v>
      </c>
      <c r="K2" s="44" t="s">
        <v>257</v>
      </c>
      <c r="L2" s="58" t="s">
        <v>258</v>
      </c>
      <c r="M2" s="59" t="s">
        <v>259</v>
      </c>
    </row>
    <row r="3" spans="1:13" x14ac:dyDescent="0.25">
      <c r="A3">
        <v>1</v>
      </c>
      <c r="B3" s="67">
        <v>0.6</v>
      </c>
      <c r="C3">
        <f>$C$11*B3</f>
        <v>68860.800000000003</v>
      </c>
      <c r="D3">
        <f>'Costos Materia Prima Biciletas'!E24</f>
        <v>1699</v>
      </c>
      <c r="E3">
        <f>C3*D3</f>
        <v>116994499.2</v>
      </c>
      <c r="F3">
        <f>$C$12*B3</f>
        <v>41990.400000000001</v>
      </c>
      <c r="G3">
        <f>'Costos Materia Prima Biciletas'!L25</f>
        <v>1799</v>
      </c>
      <c r="H3">
        <f>G3*F3</f>
        <v>75540729.600000009</v>
      </c>
      <c r="I3">
        <f>$C$13*B3</f>
        <v>61948.799999999996</v>
      </c>
      <c r="J3">
        <f>'Costos Materia Prima Biciletas'!R25</f>
        <v>1399</v>
      </c>
      <c r="K3">
        <f>J3*I3</f>
        <v>86666371.199999988</v>
      </c>
      <c r="L3" s="52">
        <f>SUM(E3,H3,K3)</f>
        <v>279201600</v>
      </c>
      <c r="M3" s="52">
        <f>L3*4095</f>
        <v>1143330552000</v>
      </c>
    </row>
    <row r="4" spans="1:13" x14ac:dyDescent="0.25">
      <c r="A4">
        <v>2</v>
      </c>
      <c r="B4" s="67">
        <v>0.75</v>
      </c>
      <c r="C4">
        <f t="shared" ref="C4:C8" si="0">$C$11*B4</f>
        <v>86076</v>
      </c>
      <c r="D4">
        <f>ROUND(D3 + D3*0.04,0)</f>
        <v>1767</v>
      </c>
      <c r="E4">
        <f>C4*D4</f>
        <v>152096292</v>
      </c>
      <c r="F4">
        <f t="shared" ref="F4:F8" si="1">$C$12*B4</f>
        <v>52488</v>
      </c>
      <c r="G4">
        <f>ROUND(G3 + G3*0.04,0)</f>
        <v>1871</v>
      </c>
      <c r="H4">
        <f t="shared" ref="H4:H8" si="2">G4*F4</f>
        <v>98205048</v>
      </c>
      <c r="I4">
        <f t="shared" ref="I4:I8" si="3">$C$13*B4</f>
        <v>77436</v>
      </c>
      <c r="J4">
        <f>ROUND(J3 + J3*0.04,0)</f>
        <v>1455</v>
      </c>
      <c r="K4">
        <f t="shared" ref="K4:K8" si="4">J4*I4</f>
        <v>112669380</v>
      </c>
      <c r="L4" s="52">
        <f t="shared" ref="L4:L8" si="5">SUM(E4,H4,K4)</f>
        <v>362970720</v>
      </c>
      <c r="M4" s="52">
        <f t="shared" ref="M4:M8" si="6">L4*4095</f>
        <v>1486365098400</v>
      </c>
    </row>
    <row r="5" spans="1:13" x14ac:dyDescent="0.25">
      <c r="A5">
        <v>3</v>
      </c>
      <c r="B5" s="67">
        <v>0.9</v>
      </c>
      <c r="C5">
        <f t="shared" si="0"/>
        <v>103291.2</v>
      </c>
      <c r="D5">
        <f t="shared" ref="D5:D8" si="7">ROUND(D4 + D4*0.04,0)</f>
        <v>1838</v>
      </c>
      <c r="E5">
        <f t="shared" ref="E5:E8" si="8">C5*D5</f>
        <v>189849225.59999999</v>
      </c>
      <c r="F5">
        <f t="shared" si="1"/>
        <v>62985.599999999999</v>
      </c>
      <c r="G5">
        <f t="shared" ref="G5:G8" si="9">ROUND(G4 + G4*0.04,0)</f>
        <v>1946</v>
      </c>
      <c r="H5">
        <f t="shared" si="2"/>
        <v>122569977.59999999</v>
      </c>
      <c r="I5">
        <f t="shared" si="3"/>
        <v>92923.199999999997</v>
      </c>
      <c r="J5">
        <f t="shared" ref="J5:J8" si="10">ROUND(J4 + J4*0.04,0)</f>
        <v>1513</v>
      </c>
      <c r="K5">
        <f t="shared" si="4"/>
        <v>140592801.59999999</v>
      </c>
      <c r="L5" s="52">
        <f t="shared" si="5"/>
        <v>453012004.79999995</v>
      </c>
      <c r="M5" s="52">
        <f t="shared" si="6"/>
        <v>1855084159655.9998</v>
      </c>
    </row>
    <row r="6" spans="1:13" x14ac:dyDescent="0.25">
      <c r="A6">
        <v>4</v>
      </c>
      <c r="B6" s="67">
        <v>1</v>
      </c>
      <c r="C6">
        <f t="shared" si="0"/>
        <v>114768</v>
      </c>
      <c r="D6">
        <f t="shared" si="7"/>
        <v>1912</v>
      </c>
      <c r="E6">
        <f t="shared" si="8"/>
        <v>219436416</v>
      </c>
      <c r="F6">
        <f t="shared" si="1"/>
        <v>69984</v>
      </c>
      <c r="G6">
        <f t="shared" si="9"/>
        <v>2024</v>
      </c>
      <c r="H6">
        <f t="shared" si="2"/>
        <v>141647616</v>
      </c>
      <c r="I6">
        <f t="shared" si="3"/>
        <v>103248</v>
      </c>
      <c r="J6">
        <f t="shared" si="10"/>
        <v>1574</v>
      </c>
      <c r="K6">
        <f t="shared" si="4"/>
        <v>162512352</v>
      </c>
      <c r="L6" s="52">
        <f t="shared" si="5"/>
        <v>523596384</v>
      </c>
      <c r="M6" s="52">
        <f t="shared" si="6"/>
        <v>2144127192480</v>
      </c>
    </row>
    <row r="7" spans="1:13" x14ac:dyDescent="0.25">
      <c r="A7">
        <v>5</v>
      </c>
      <c r="B7" s="67">
        <v>1</v>
      </c>
      <c r="C7">
        <f t="shared" si="0"/>
        <v>114768</v>
      </c>
      <c r="D7">
        <f t="shared" si="7"/>
        <v>1988</v>
      </c>
      <c r="E7">
        <f t="shared" si="8"/>
        <v>228158784</v>
      </c>
      <c r="F7">
        <f t="shared" si="1"/>
        <v>69984</v>
      </c>
      <c r="G7">
        <f t="shared" si="9"/>
        <v>2105</v>
      </c>
      <c r="H7">
        <f t="shared" si="2"/>
        <v>147316320</v>
      </c>
      <c r="I7">
        <f t="shared" si="3"/>
        <v>103248</v>
      </c>
      <c r="J7">
        <f t="shared" si="10"/>
        <v>1637</v>
      </c>
      <c r="K7">
        <f t="shared" si="4"/>
        <v>169016976</v>
      </c>
      <c r="L7" s="52">
        <f t="shared" si="5"/>
        <v>544492080</v>
      </c>
      <c r="M7" s="52">
        <f t="shared" si="6"/>
        <v>2229695067600</v>
      </c>
    </row>
    <row r="8" spans="1:13" x14ac:dyDescent="0.25">
      <c r="A8">
        <v>6</v>
      </c>
      <c r="B8" s="67">
        <v>1</v>
      </c>
      <c r="C8">
        <f t="shared" si="0"/>
        <v>114768</v>
      </c>
      <c r="D8">
        <f t="shared" si="7"/>
        <v>2068</v>
      </c>
      <c r="E8">
        <f t="shared" si="8"/>
        <v>237340224</v>
      </c>
      <c r="F8">
        <f t="shared" si="1"/>
        <v>69984</v>
      </c>
      <c r="G8">
        <f t="shared" si="9"/>
        <v>2189</v>
      </c>
      <c r="H8">
        <f t="shared" si="2"/>
        <v>153194976</v>
      </c>
      <c r="I8">
        <f t="shared" si="3"/>
        <v>103248</v>
      </c>
      <c r="J8">
        <f t="shared" si="10"/>
        <v>1702</v>
      </c>
      <c r="K8">
        <f t="shared" si="4"/>
        <v>175728096</v>
      </c>
      <c r="L8" s="52">
        <f t="shared" si="5"/>
        <v>566263296</v>
      </c>
      <c r="M8" s="52">
        <f t="shared" si="6"/>
        <v>2318848197120</v>
      </c>
    </row>
    <row r="10" spans="1:13" x14ac:dyDescent="0.25">
      <c r="B10" t="s">
        <v>285</v>
      </c>
    </row>
    <row r="11" spans="1:13" x14ac:dyDescent="0.25">
      <c r="A11" t="s">
        <v>283</v>
      </c>
      <c r="B11" s="69">
        <f>B16-B19</f>
        <v>0.39850000000000002</v>
      </c>
      <c r="C11">
        <f>$C$14*B11</f>
        <v>114768</v>
      </c>
    </row>
    <row r="12" spans="1:13" x14ac:dyDescent="0.25">
      <c r="A12" t="s">
        <v>282</v>
      </c>
      <c r="B12" s="70">
        <f>B17+2*B19</f>
        <v>0.24299999999999999</v>
      </c>
      <c r="C12">
        <f t="shared" ref="C12:C13" si="11">$C$14*B12</f>
        <v>69984</v>
      </c>
    </row>
    <row r="13" spans="1:13" x14ac:dyDescent="0.25">
      <c r="A13" t="s">
        <v>284</v>
      </c>
      <c r="B13" s="70">
        <f>B18-B19</f>
        <v>0.35849999999999999</v>
      </c>
      <c r="C13">
        <f t="shared" si="11"/>
        <v>103248</v>
      </c>
    </row>
    <row r="14" spans="1:13" x14ac:dyDescent="0.25">
      <c r="B14" t="s">
        <v>281</v>
      </c>
      <c r="C14" s="68">
        <v>288000</v>
      </c>
    </row>
    <row r="15" spans="1:13" x14ac:dyDescent="0.25">
      <c r="B15" s="70">
        <f>SUM(B11:B13)</f>
        <v>1</v>
      </c>
    </row>
    <row r="16" spans="1:13" x14ac:dyDescent="0.25">
      <c r="B16" s="69">
        <v>0.4</v>
      </c>
    </row>
    <row r="17" spans="2:2" x14ac:dyDescent="0.25">
      <c r="B17" s="70">
        <v>0.24</v>
      </c>
    </row>
    <row r="18" spans="2:2" x14ac:dyDescent="0.25">
      <c r="B18" s="70">
        <v>0.36</v>
      </c>
    </row>
    <row r="19" spans="2:2" x14ac:dyDescent="0.25">
      <c r="B19" s="70">
        <v>1.5E-3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537D-FEA1-4056-9B5F-7B1B7DBEA0BD}">
  <dimension ref="A1:C40"/>
  <sheetViews>
    <sheetView topLeftCell="B1" workbookViewId="0">
      <selection activeCell="M42" sqref="M42"/>
    </sheetView>
  </sheetViews>
  <sheetFormatPr baseColWidth="10" defaultRowHeight="15" x14ac:dyDescent="0.25"/>
  <cols>
    <col min="1" max="1" width="35.28515625" bestFit="1" customWidth="1"/>
    <col min="2" max="2" width="11.28515625" bestFit="1" customWidth="1"/>
  </cols>
  <sheetData>
    <row r="1" spans="1:3" x14ac:dyDescent="0.25">
      <c r="A1" t="s">
        <v>61</v>
      </c>
      <c r="B1" t="s">
        <v>62</v>
      </c>
      <c r="C1" t="s">
        <v>63</v>
      </c>
    </row>
    <row r="2" spans="1:3" x14ac:dyDescent="0.25">
      <c r="A2" t="s">
        <v>64</v>
      </c>
      <c r="B2" t="s">
        <v>65</v>
      </c>
      <c r="C2">
        <v>25</v>
      </c>
    </row>
    <row r="3" spans="1:3" x14ac:dyDescent="0.25">
      <c r="A3" t="s">
        <v>66</v>
      </c>
      <c r="B3" t="s">
        <v>65</v>
      </c>
      <c r="C3">
        <v>30</v>
      </c>
    </row>
    <row r="4" spans="1:3" x14ac:dyDescent="0.25">
      <c r="A4" t="s">
        <v>67</v>
      </c>
      <c r="B4" t="s">
        <v>65</v>
      </c>
      <c r="C4">
        <v>60</v>
      </c>
    </row>
    <row r="5" spans="1:3" x14ac:dyDescent="0.25">
      <c r="A5" t="s">
        <v>68</v>
      </c>
      <c r="B5" t="s">
        <v>65</v>
      </c>
      <c r="C5">
        <v>20</v>
      </c>
    </row>
    <row r="6" spans="1:3" x14ac:dyDescent="0.25">
      <c r="A6" t="s">
        <v>69</v>
      </c>
      <c r="B6" t="s">
        <v>65</v>
      </c>
      <c r="C6">
        <v>30</v>
      </c>
    </row>
    <row r="7" spans="1:3" x14ac:dyDescent="0.25">
      <c r="A7" t="s">
        <v>70</v>
      </c>
      <c r="B7" t="s">
        <v>65</v>
      </c>
      <c r="C7">
        <v>40</v>
      </c>
    </row>
    <row r="8" spans="1:3" x14ac:dyDescent="0.25">
      <c r="A8" t="s">
        <v>71</v>
      </c>
      <c r="B8" t="s">
        <v>65</v>
      </c>
      <c r="C8">
        <v>35</v>
      </c>
    </row>
    <row r="9" spans="1:3" x14ac:dyDescent="0.25">
      <c r="A9" t="s">
        <v>72</v>
      </c>
      <c r="B9" t="s">
        <v>65</v>
      </c>
      <c r="C9">
        <v>25</v>
      </c>
    </row>
    <row r="10" spans="1:3" x14ac:dyDescent="0.25">
      <c r="A10" t="s">
        <v>73</v>
      </c>
      <c r="B10" t="s">
        <v>65</v>
      </c>
      <c r="C10">
        <v>20</v>
      </c>
    </row>
    <row r="11" spans="1:3" x14ac:dyDescent="0.25">
      <c r="A11" t="s">
        <v>74</v>
      </c>
      <c r="B11" t="s">
        <v>65</v>
      </c>
      <c r="C11">
        <v>150</v>
      </c>
    </row>
    <row r="12" spans="1:3" x14ac:dyDescent="0.25">
      <c r="A12" t="s">
        <v>75</v>
      </c>
      <c r="B12" t="s">
        <v>65</v>
      </c>
      <c r="C12">
        <v>15</v>
      </c>
    </row>
    <row r="13" spans="1:3" x14ac:dyDescent="0.25">
      <c r="A13" t="s">
        <v>76</v>
      </c>
      <c r="B13" t="s">
        <v>65</v>
      </c>
      <c r="C13">
        <v>40</v>
      </c>
    </row>
    <row r="14" spans="1:3" x14ac:dyDescent="0.25">
      <c r="A14" t="s">
        <v>77</v>
      </c>
      <c r="B14" t="s">
        <v>78</v>
      </c>
      <c r="C14">
        <v>50</v>
      </c>
    </row>
    <row r="15" spans="1:3" x14ac:dyDescent="0.25">
      <c r="A15" t="s">
        <v>79</v>
      </c>
      <c r="B15" t="s">
        <v>78</v>
      </c>
      <c r="C15">
        <v>90</v>
      </c>
    </row>
    <row r="16" spans="1:3" x14ac:dyDescent="0.25">
      <c r="A16" t="s">
        <v>80</v>
      </c>
      <c r="B16" t="s">
        <v>78</v>
      </c>
      <c r="C16">
        <v>80</v>
      </c>
    </row>
    <row r="17" spans="1:3" x14ac:dyDescent="0.25">
      <c r="A17" t="s">
        <v>81</v>
      </c>
      <c r="B17" t="s">
        <v>78</v>
      </c>
      <c r="C17">
        <v>20</v>
      </c>
    </row>
    <row r="18" spans="1:3" x14ac:dyDescent="0.25">
      <c r="A18" t="s">
        <v>82</v>
      </c>
      <c r="B18" t="s">
        <v>78</v>
      </c>
      <c r="C18">
        <v>50</v>
      </c>
    </row>
    <row r="19" spans="1:3" x14ac:dyDescent="0.25">
      <c r="A19" t="s">
        <v>83</v>
      </c>
      <c r="B19" t="s">
        <v>78</v>
      </c>
      <c r="C19">
        <v>35</v>
      </c>
    </row>
    <row r="20" spans="1:3" x14ac:dyDescent="0.25">
      <c r="A20" t="s">
        <v>84</v>
      </c>
      <c r="B20" t="s">
        <v>78</v>
      </c>
      <c r="C20">
        <v>100</v>
      </c>
    </row>
    <row r="21" spans="1:3" x14ac:dyDescent="0.25">
      <c r="A21" t="s">
        <v>85</v>
      </c>
      <c r="B21" t="s">
        <v>78</v>
      </c>
      <c r="C21">
        <v>100</v>
      </c>
    </row>
    <row r="22" spans="1:3" x14ac:dyDescent="0.25">
      <c r="A22" t="s">
        <v>86</v>
      </c>
      <c r="B22" t="s">
        <v>87</v>
      </c>
      <c r="C22">
        <v>30</v>
      </c>
    </row>
    <row r="23" spans="1:3" x14ac:dyDescent="0.25">
      <c r="A23" t="s">
        <v>88</v>
      </c>
      <c r="B23" t="s">
        <v>87</v>
      </c>
      <c r="C23">
        <v>45</v>
      </c>
    </row>
    <row r="24" spans="1:3" x14ac:dyDescent="0.25">
      <c r="A24" t="s">
        <v>89</v>
      </c>
      <c r="B24" t="s">
        <v>87</v>
      </c>
      <c r="C24">
        <v>180</v>
      </c>
    </row>
    <row r="25" spans="1:3" x14ac:dyDescent="0.25">
      <c r="A25" t="s">
        <v>90</v>
      </c>
      <c r="B25" t="s">
        <v>87</v>
      </c>
      <c r="C25">
        <v>25</v>
      </c>
    </row>
    <row r="26" spans="1:3" x14ac:dyDescent="0.25">
      <c r="A26" t="s">
        <v>91</v>
      </c>
      <c r="B26" t="s">
        <v>87</v>
      </c>
      <c r="C26">
        <v>40</v>
      </c>
    </row>
    <row r="27" spans="1:3" x14ac:dyDescent="0.25">
      <c r="A27" t="s">
        <v>92</v>
      </c>
      <c r="B27" t="s">
        <v>87</v>
      </c>
      <c r="C27">
        <v>30</v>
      </c>
    </row>
    <row r="28" spans="1:3" x14ac:dyDescent="0.25">
      <c r="A28" t="s">
        <v>93</v>
      </c>
      <c r="B28" t="s">
        <v>94</v>
      </c>
      <c r="C28">
        <v>15</v>
      </c>
    </row>
    <row r="29" spans="1:3" x14ac:dyDescent="0.25">
      <c r="A29" t="s">
        <v>95</v>
      </c>
      <c r="B29" t="s">
        <v>94</v>
      </c>
      <c r="C29">
        <v>10</v>
      </c>
    </row>
    <row r="30" spans="1:3" x14ac:dyDescent="0.25">
      <c r="A30" t="s">
        <v>96</v>
      </c>
      <c r="B30" t="s">
        <v>94</v>
      </c>
      <c r="C30">
        <v>12</v>
      </c>
    </row>
    <row r="31" spans="1:3" x14ac:dyDescent="0.25">
      <c r="A31" t="s">
        <v>97</v>
      </c>
      <c r="B31" t="s">
        <v>94</v>
      </c>
      <c r="C31">
        <v>10</v>
      </c>
    </row>
    <row r="32" spans="1:3" x14ac:dyDescent="0.25">
      <c r="A32" t="s">
        <v>98</v>
      </c>
      <c r="B32" t="s">
        <v>94</v>
      </c>
      <c r="C32">
        <v>60</v>
      </c>
    </row>
    <row r="33" spans="1:3" x14ac:dyDescent="0.25">
      <c r="A33" t="s">
        <v>99</v>
      </c>
      <c r="B33" t="s">
        <v>94</v>
      </c>
      <c r="C33">
        <v>300</v>
      </c>
    </row>
    <row r="34" spans="1:3" x14ac:dyDescent="0.25">
      <c r="A34" t="s">
        <v>100</v>
      </c>
      <c r="B34" t="s">
        <v>94</v>
      </c>
      <c r="C34">
        <v>200</v>
      </c>
    </row>
    <row r="35" spans="1:3" x14ac:dyDescent="0.25">
      <c r="A35" t="s">
        <v>101</v>
      </c>
      <c r="B35" t="s">
        <v>102</v>
      </c>
      <c r="C35">
        <v>250</v>
      </c>
    </row>
    <row r="36" spans="1:3" x14ac:dyDescent="0.25">
      <c r="A36" t="s">
        <v>103</v>
      </c>
      <c r="B36" t="s">
        <v>102</v>
      </c>
      <c r="C36">
        <v>500</v>
      </c>
    </row>
    <row r="37" spans="1:3" x14ac:dyDescent="0.25">
      <c r="A37" t="s">
        <v>104</v>
      </c>
      <c r="B37" t="s">
        <v>102</v>
      </c>
      <c r="C37">
        <v>800</v>
      </c>
    </row>
    <row r="38" spans="1:3" x14ac:dyDescent="0.25">
      <c r="A38" t="s">
        <v>105</v>
      </c>
      <c r="B38" t="s">
        <v>102</v>
      </c>
      <c r="C38">
        <v>100</v>
      </c>
    </row>
    <row r="39" spans="1:3" x14ac:dyDescent="0.25">
      <c r="A39" t="s">
        <v>106</v>
      </c>
      <c r="B39" t="s">
        <v>102</v>
      </c>
      <c r="C39">
        <v>300</v>
      </c>
    </row>
    <row r="40" spans="1:3" x14ac:dyDescent="0.25">
      <c r="A40" t="s">
        <v>7</v>
      </c>
      <c r="C40">
        <f>SUM(C2:C39)</f>
        <v>3922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1282-4963-4874-A546-791BBDC03718}">
  <dimension ref="A1:R30"/>
  <sheetViews>
    <sheetView workbookViewId="0">
      <selection activeCell="E24" sqref="E24"/>
    </sheetView>
  </sheetViews>
  <sheetFormatPr baseColWidth="10" defaultRowHeight="15" x14ac:dyDescent="0.25"/>
  <cols>
    <col min="1" max="1" width="12" bestFit="1" customWidth="1"/>
    <col min="2" max="2" width="43.42578125" bestFit="1" customWidth="1"/>
    <col min="5" max="5" width="16.28515625" bestFit="1" customWidth="1"/>
    <col min="9" max="9" width="43.42578125" bestFit="1" customWidth="1"/>
    <col min="12" max="12" width="16.28515625" bestFit="1" customWidth="1"/>
    <col min="15" max="15" width="40.140625" bestFit="1" customWidth="1"/>
    <col min="18" max="18" width="16.28515625" bestFit="1" customWidth="1"/>
  </cols>
  <sheetData>
    <row r="1" spans="1:18" x14ac:dyDescent="0.25">
      <c r="A1" s="74" t="s">
        <v>234</v>
      </c>
      <c r="B1" s="74"/>
      <c r="C1" s="74"/>
      <c r="D1" s="74"/>
      <c r="E1" s="74"/>
      <c r="H1" s="74" t="s">
        <v>235</v>
      </c>
      <c r="I1" s="74"/>
      <c r="J1" s="74"/>
      <c r="K1" s="74"/>
      <c r="L1" s="74"/>
      <c r="N1" s="74" t="s">
        <v>5</v>
      </c>
      <c r="O1" s="74"/>
      <c r="P1" s="74"/>
      <c r="Q1" s="74"/>
      <c r="R1" s="74"/>
    </row>
    <row r="2" spans="1:18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H2" t="s">
        <v>1</v>
      </c>
      <c r="I2" t="s">
        <v>0</v>
      </c>
      <c r="J2" t="s">
        <v>2</v>
      </c>
      <c r="K2" t="s">
        <v>3</v>
      </c>
      <c r="L2" t="s">
        <v>4</v>
      </c>
      <c r="N2" t="s">
        <v>1</v>
      </c>
      <c r="O2" t="s">
        <v>0</v>
      </c>
      <c r="P2" t="s">
        <v>2</v>
      </c>
      <c r="Q2" t="s">
        <v>3</v>
      </c>
      <c r="R2" t="s">
        <v>4</v>
      </c>
    </row>
    <row r="3" spans="1:18" x14ac:dyDescent="0.25">
      <c r="A3">
        <v>1</v>
      </c>
      <c r="B3" t="s">
        <v>196</v>
      </c>
      <c r="C3">
        <v>300</v>
      </c>
      <c r="D3">
        <v>1</v>
      </c>
      <c r="E3">
        <f>C3*D3</f>
        <v>300</v>
      </c>
      <c r="H3">
        <v>1</v>
      </c>
      <c r="I3" t="s">
        <v>196</v>
      </c>
      <c r="J3">
        <v>300</v>
      </c>
      <c r="K3">
        <v>1</v>
      </c>
      <c r="L3">
        <f>J3*K3</f>
        <v>300</v>
      </c>
      <c r="N3" s="44">
        <v>1</v>
      </c>
      <c r="O3" t="s">
        <v>215</v>
      </c>
      <c r="P3">
        <v>150</v>
      </c>
      <c r="Q3">
        <v>1</v>
      </c>
      <c r="R3">
        <f>P3*Q3</f>
        <v>150</v>
      </c>
    </row>
    <row r="4" spans="1:18" x14ac:dyDescent="0.25">
      <c r="A4">
        <v>2</v>
      </c>
      <c r="B4" t="s">
        <v>197</v>
      </c>
      <c r="C4">
        <v>250</v>
      </c>
      <c r="D4">
        <v>1</v>
      </c>
      <c r="E4">
        <f t="shared" ref="E4:E22" si="0">C4*D4</f>
        <v>250</v>
      </c>
      <c r="H4">
        <v>2</v>
      </c>
      <c r="I4" t="s">
        <v>197</v>
      </c>
      <c r="J4">
        <v>250</v>
      </c>
      <c r="K4">
        <v>1</v>
      </c>
      <c r="L4">
        <f t="shared" ref="L4:L23" si="1">J4*K4</f>
        <v>250</v>
      </c>
      <c r="N4">
        <v>2</v>
      </c>
      <c r="O4" t="s">
        <v>216</v>
      </c>
      <c r="P4">
        <v>150</v>
      </c>
      <c r="Q4">
        <v>1</v>
      </c>
      <c r="R4">
        <f t="shared" ref="R4:R23" si="2">P4*Q4</f>
        <v>150</v>
      </c>
    </row>
    <row r="5" spans="1:18" x14ac:dyDescent="0.25">
      <c r="A5">
        <v>3</v>
      </c>
      <c r="B5" t="s">
        <v>198</v>
      </c>
      <c r="C5">
        <v>90</v>
      </c>
      <c r="D5">
        <v>1</v>
      </c>
      <c r="E5">
        <f t="shared" si="0"/>
        <v>90</v>
      </c>
      <c r="H5">
        <v>3</v>
      </c>
      <c r="I5" t="s">
        <v>198</v>
      </c>
      <c r="J5">
        <v>90</v>
      </c>
      <c r="K5">
        <v>1</v>
      </c>
      <c r="L5">
        <f t="shared" si="1"/>
        <v>90</v>
      </c>
      <c r="N5">
        <v>3</v>
      </c>
      <c r="O5" t="s">
        <v>217</v>
      </c>
      <c r="P5">
        <v>30</v>
      </c>
      <c r="Q5">
        <v>1</v>
      </c>
      <c r="R5">
        <f t="shared" si="2"/>
        <v>30</v>
      </c>
    </row>
    <row r="6" spans="1:18" x14ac:dyDescent="0.25">
      <c r="A6">
        <v>4</v>
      </c>
      <c r="B6" t="s">
        <v>199</v>
      </c>
      <c r="C6">
        <v>50</v>
      </c>
      <c r="D6">
        <v>1</v>
      </c>
      <c r="E6">
        <f t="shared" si="0"/>
        <v>50</v>
      </c>
      <c r="H6">
        <v>4</v>
      </c>
      <c r="I6" t="s">
        <v>199</v>
      </c>
      <c r="J6">
        <v>50</v>
      </c>
      <c r="K6">
        <v>1</v>
      </c>
      <c r="L6">
        <f t="shared" si="1"/>
        <v>50</v>
      </c>
      <c r="N6">
        <v>4</v>
      </c>
      <c r="O6" t="s">
        <v>218</v>
      </c>
      <c r="P6">
        <v>25</v>
      </c>
      <c r="Q6">
        <v>1</v>
      </c>
      <c r="R6">
        <f t="shared" si="2"/>
        <v>25</v>
      </c>
    </row>
    <row r="7" spans="1:18" x14ac:dyDescent="0.25">
      <c r="A7">
        <v>5</v>
      </c>
      <c r="B7" t="s">
        <v>200</v>
      </c>
      <c r="C7">
        <v>100</v>
      </c>
      <c r="D7">
        <v>1</v>
      </c>
      <c r="E7">
        <f t="shared" si="0"/>
        <v>100</v>
      </c>
      <c r="H7">
        <v>5</v>
      </c>
      <c r="I7" t="s">
        <v>200</v>
      </c>
      <c r="J7">
        <v>100</v>
      </c>
      <c r="K7">
        <v>1</v>
      </c>
      <c r="L7">
        <f t="shared" si="1"/>
        <v>100</v>
      </c>
      <c r="N7">
        <v>5</v>
      </c>
      <c r="O7" t="s">
        <v>219</v>
      </c>
      <c r="P7">
        <v>180</v>
      </c>
      <c r="Q7">
        <v>1</v>
      </c>
      <c r="R7">
        <f t="shared" si="2"/>
        <v>180</v>
      </c>
    </row>
    <row r="8" spans="1:18" x14ac:dyDescent="0.25">
      <c r="A8">
        <v>6</v>
      </c>
      <c r="B8" t="s">
        <v>214</v>
      </c>
      <c r="C8">
        <v>20</v>
      </c>
      <c r="D8">
        <v>2</v>
      </c>
      <c r="E8">
        <f t="shared" si="0"/>
        <v>40</v>
      </c>
      <c r="H8">
        <v>6</v>
      </c>
      <c r="I8" t="s">
        <v>214</v>
      </c>
      <c r="J8">
        <v>20</v>
      </c>
      <c r="K8">
        <v>2</v>
      </c>
      <c r="L8">
        <f t="shared" si="1"/>
        <v>40</v>
      </c>
      <c r="N8">
        <v>6</v>
      </c>
      <c r="O8" t="s">
        <v>233</v>
      </c>
      <c r="P8">
        <v>15</v>
      </c>
      <c r="Q8">
        <v>2</v>
      </c>
      <c r="R8">
        <f t="shared" si="2"/>
        <v>30</v>
      </c>
    </row>
    <row r="9" spans="1:18" x14ac:dyDescent="0.25">
      <c r="A9">
        <v>7</v>
      </c>
      <c r="B9" t="s">
        <v>213</v>
      </c>
      <c r="C9">
        <v>80</v>
      </c>
      <c r="D9">
        <v>2</v>
      </c>
      <c r="E9">
        <f t="shared" si="0"/>
        <v>160</v>
      </c>
      <c r="H9">
        <v>7</v>
      </c>
      <c r="I9" t="s">
        <v>213</v>
      </c>
      <c r="J9">
        <v>80</v>
      </c>
      <c r="K9">
        <v>2</v>
      </c>
      <c r="L9">
        <f t="shared" si="1"/>
        <v>160</v>
      </c>
      <c r="N9">
        <v>7</v>
      </c>
      <c r="O9" t="s">
        <v>232</v>
      </c>
      <c r="P9">
        <v>25</v>
      </c>
      <c r="Q9">
        <v>2</v>
      </c>
      <c r="R9">
        <f t="shared" si="2"/>
        <v>50</v>
      </c>
    </row>
    <row r="10" spans="1:18" x14ac:dyDescent="0.25">
      <c r="A10">
        <v>8</v>
      </c>
      <c r="B10" t="s">
        <v>201</v>
      </c>
      <c r="C10">
        <v>40</v>
      </c>
      <c r="D10">
        <v>1</v>
      </c>
      <c r="E10">
        <f t="shared" si="0"/>
        <v>40</v>
      </c>
      <c r="H10">
        <v>8</v>
      </c>
      <c r="I10" t="s">
        <v>201</v>
      </c>
      <c r="J10">
        <v>40</v>
      </c>
      <c r="K10">
        <v>1</v>
      </c>
      <c r="L10">
        <f t="shared" si="1"/>
        <v>40</v>
      </c>
      <c r="N10">
        <v>8</v>
      </c>
      <c r="O10" t="s">
        <v>231</v>
      </c>
      <c r="P10">
        <v>60</v>
      </c>
      <c r="Q10">
        <v>2</v>
      </c>
      <c r="R10">
        <f t="shared" si="2"/>
        <v>120</v>
      </c>
    </row>
    <row r="11" spans="1:18" x14ac:dyDescent="0.25">
      <c r="A11">
        <v>9</v>
      </c>
      <c r="B11" t="s">
        <v>202</v>
      </c>
      <c r="C11">
        <v>10</v>
      </c>
      <c r="D11">
        <v>1</v>
      </c>
      <c r="E11">
        <f t="shared" si="0"/>
        <v>10</v>
      </c>
      <c r="H11">
        <v>9</v>
      </c>
      <c r="I11" t="s">
        <v>202</v>
      </c>
      <c r="J11">
        <v>10</v>
      </c>
      <c r="K11">
        <v>1</v>
      </c>
      <c r="L11">
        <f t="shared" si="1"/>
        <v>10</v>
      </c>
      <c r="N11">
        <v>9</v>
      </c>
      <c r="O11" t="s">
        <v>220</v>
      </c>
      <c r="P11">
        <v>35</v>
      </c>
      <c r="Q11">
        <v>1</v>
      </c>
      <c r="R11">
        <f t="shared" si="2"/>
        <v>35</v>
      </c>
    </row>
    <row r="12" spans="1:18" x14ac:dyDescent="0.25">
      <c r="A12">
        <v>10</v>
      </c>
      <c r="B12" t="s">
        <v>212</v>
      </c>
      <c r="C12">
        <v>40</v>
      </c>
      <c r="D12">
        <v>2</v>
      </c>
      <c r="E12">
        <f t="shared" si="0"/>
        <v>80</v>
      </c>
      <c r="H12">
        <v>10</v>
      </c>
      <c r="I12" t="s">
        <v>212</v>
      </c>
      <c r="J12">
        <v>40</v>
      </c>
      <c r="K12">
        <v>2</v>
      </c>
      <c r="L12">
        <f t="shared" si="1"/>
        <v>80</v>
      </c>
      <c r="N12" s="44">
        <v>10</v>
      </c>
      <c r="O12" t="s">
        <v>221</v>
      </c>
      <c r="P12">
        <v>15</v>
      </c>
      <c r="Q12">
        <v>1</v>
      </c>
      <c r="R12">
        <f t="shared" si="2"/>
        <v>15</v>
      </c>
    </row>
    <row r="13" spans="1:18" x14ac:dyDescent="0.25">
      <c r="A13">
        <v>11</v>
      </c>
      <c r="B13" t="s">
        <v>203</v>
      </c>
      <c r="C13">
        <v>20</v>
      </c>
      <c r="D13">
        <v>1</v>
      </c>
      <c r="E13">
        <f t="shared" si="0"/>
        <v>20</v>
      </c>
      <c r="H13">
        <v>11</v>
      </c>
      <c r="I13" t="s">
        <v>203</v>
      </c>
      <c r="J13">
        <v>20</v>
      </c>
      <c r="K13">
        <v>1</v>
      </c>
      <c r="L13">
        <f t="shared" si="1"/>
        <v>20</v>
      </c>
      <c r="N13">
        <v>11</v>
      </c>
      <c r="O13" t="s">
        <v>222</v>
      </c>
      <c r="P13">
        <v>10</v>
      </c>
      <c r="Q13">
        <v>1</v>
      </c>
      <c r="R13">
        <f t="shared" si="2"/>
        <v>10</v>
      </c>
    </row>
    <row r="14" spans="1:18" x14ac:dyDescent="0.25">
      <c r="A14">
        <v>12</v>
      </c>
      <c r="B14" t="s">
        <v>204</v>
      </c>
      <c r="C14">
        <v>10</v>
      </c>
      <c r="D14">
        <v>1</v>
      </c>
      <c r="E14">
        <f t="shared" si="0"/>
        <v>10</v>
      </c>
      <c r="H14">
        <v>12</v>
      </c>
      <c r="I14" t="s">
        <v>204</v>
      </c>
      <c r="J14">
        <v>10</v>
      </c>
      <c r="K14">
        <v>1</v>
      </c>
      <c r="L14">
        <f t="shared" si="1"/>
        <v>10</v>
      </c>
      <c r="N14">
        <v>12</v>
      </c>
      <c r="O14" t="s">
        <v>223</v>
      </c>
      <c r="P14">
        <v>30</v>
      </c>
      <c r="Q14">
        <v>1</v>
      </c>
      <c r="R14">
        <f t="shared" si="2"/>
        <v>30</v>
      </c>
    </row>
    <row r="15" spans="1:18" x14ac:dyDescent="0.25">
      <c r="A15">
        <v>13</v>
      </c>
      <c r="B15" t="s">
        <v>205</v>
      </c>
      <c r="C15">
        <v>15</v>
      </c>
      <c r="D15">
        <v>1</v>
      </c>
      <c r="E15">
        <f t="shared" si="0"/>
        <v>15</v>
      </c>
      <c r="H15">
        <v>13</v>
      </c>
      <c r="I15" t="s">
        <v>205</v>
      </c>
      <c r="J15">
        <v>15</v>
      </c>
      <c r="K15">
        <v>1</v>
      </c>
      <c r="L15">
        <f t="shared" si="1"/>
        <v>15</v>
      </c>
      <c r="N15">
        <v>13</v>
      </c>
      <c r="O15" t="s">
        <v>224</v>
      </c>
      <c r="P15">
        <v>25</v>
      </c>
      <c r="Q15">
        <v>1</v>
      </c>
      <c r="R15">
        <f t="shared" si="2"/>
        <v>25</v>
      </c>
    </row>
    <row r="16" spans="1:18" x14ac:dyDescent="0.25">
      <c r="A16">
        <v>14</v>
      </c>
      <c r="B16" t="s">
        <v>206</v>
      </c>
      <c r="C16">
        <v>15</v>
      </c>
      <c r="D16">
        <v>1</v>
      </c>
      <c r="E16">
        <f t="shared" si="0"/>
        <v>15</v>
      </c>
      <c r="H16">
        <v>14</v>
      </c>
      <c r="I16" t="s">
        <v>206</v>
      </c>
      <c r="J16">
        <v>15</v>
      </c>
      <c r="K16">
        <v>1</v>
      </c>
      <c r="L16">
        <f t="shared" si="1"/>
        <v>15</v>
      </c>
      <c r="N16">
        <v>14</v>
      </c>
      <c r="O16" t="s">
        <v>225</v>
      </c>
      <c r="P16">
        <v>30</v>
      </c>
      <c r="Q16">
        <v>1</v>
      </c>
      <c r="R16">
        <f t="shared" si="2"/>
        <v>30</v>
      </c>
    </row>
    <row r="17" spans="1:18" x14ac:dyDescent="0.25">
      <c r="A17">
        <v>15</v>
      </c>
      <c r="B17" t="s">
        <v>207</v>
      </c>
      <c r="C17">
        <v>30</v>
      </c>
      <c r="D17">
        <v>1</v>
      </c>
      <c r="E17">
        <f t="shared" si="0"/>
        <v>30</v>
      </c>
      <c r="H17">
        <v>15</v>
      </c>
      <c r="I17" t="s">
        <v>207</v>
      </c>
      <c r="J17">
        <v>30</v>
      </c>
      <c r="K17">
        <v>1</v>
      </c>
      <c r="L17">
        <f t="shared" si="1"/>
        <v>30</v>
      </c>
      <c r="N17">
        <v>15</v>
      </c>
      <c r="O17" t="s">
        <v>204</v>
      </c>
      <c r="P17">
        <v>10</v>
      </c>
      <c r="Q17">
        <v>1</v>
      </c>
      <c r="R17">
        <f t="shared" si="2"/>
        <v>10</v>
      </c>
    </row>
    <row r="18" spans="1:18" x14ac:dyDescent="0.25">
      <c r="A18">
        <v>16</v>
      </c>
      <c r="B18" t="s">
        <v>208</v>
      </c>
      <c r="C18">
        <v>20</v>
      </c>
      <c r="D18">
        <v>1</v>
      </c>
      <c r="E18">
        <f t="shared" si="0"/>
        <v>20</v>
      </c>
      <c r="H18">
        <v>16</v>
      </c>
      <c r="I18" t="s">
        <v>208</v>
      </c>
      <c r="J18">
        <v>20</v>
      </c>
      <c r="K18">
        <v>1</v>
      </c>
      <c r="L18">
        <f t="shared" si="1"/>
        <v>20</v>
      </c>
      <c r="N18">
        <v>16</v>
      </c>
      <c r="O18" t="s">
        <v>230</v>
      </c>
      <c r="P18">
        <v>10</v>
      </c>
      <c r="Q18">
        <v>2</v>
      </c>
      <c r="R18">
        <f t="shared" si="2"/>
        <v>20</v>
      </c>
    </row>
    <row r="19" spans="1:18" x14ac:dyDescent="0.25">
      <c r="A19">
        <v>17</v>
      </c>
      <c r="B19" t="s">
        <v>209</v>
      </c>
      <c r="C19">
        <v>15</v>
      </c>
      <c r="D19">
        <v>1</v>
      </c>
      <c r="E19">
        <f t="shared" si="0"/>
        <v>15</v>
      </c>
      <c r="H19">
        <v>17</v>
      </c>
      <c r="I19" t="s">
        <v>209</v>
      </c>
      <c r="J19">
        <v>15</v>
      </c>
      <c r="K19">
        <v>1</v>
      </c>
      <c r="L19">
        <f t="shared" si="1"/>
        <v>15</v>
      </c>
      <c r="N19">
        <v>17</v>
      </c>
      <c r="O19" t="s">
        <v>229</v>
      </c>
      <c r="P19">
        <v>40</v>
      </c>
      <c r="Q19">
        <v>1</v>
      </c>
      <c r="R19">
        <f t="shared" si="2"/>
        <v>40</v>
      </c>
    </row>
    <row r="20" spans="1:18" x14ac:dyDescent="0.25">
      <c r="A20">
        <v>18</v>
      </c>
      <c r="B20" t="s">
        <v>210</v>
      </c>
      <c r="C20">
        <v>10</v>
      </c>
      <c r="D20">
        <v>1</v>
      </c>
      <c r="E20">
        <f t="shared" si="0"/>
        <v>10</v>
      </c>
      <c r="H20">
        <v>18</v>
      </c>
      <c r="I20" t="s">
        <v>210</v>
      </c>
      <c r="J20">
        <v>10</v>
      </c>
      <c r="K20">
        <v>1</v>
      </c>
      <c r="L20">
        <f t="shared" si="1"/>
        <v>10</v>
      </c>
      <c r="N20">
        <v>18</v>
      </c>
      <c r="O20" t="s">
        <v>226</v>
      </c>
      <c r="P20">
        <v>20</v>
      </c>
      <c r="Q20">
        <v>1</v>
      </c>
      <c r="R20">
        <f t="shared" si="2"/>
        <v>20</v>
      </c>
    </row>
    <row r="21" spans="1:18" x14ac:dyDescent="0.25">
      <c r="A21">
        <v>19</v>
      </c>
      <c r="B21" t="s">
        <v>211</v>
      </c>
      <c r="C21">
        <v>10</v>
      </c>
      <c r="D21">
        <v>1</v>
      </c>
      <c r="E21">
        <f t="shared" si="0"/>
        <v>10</v>
      </c>
      <c r="H21">
        <v>19</v>
      </c>
      <c r="I21" t="s">
        <v>211</v>
      </c>
      <c r="J21">
        <v>10</v>
      </c>
      <c r="K21">
        <v>1</v>
      </c>
      <c r="L21">
        <f t="shared" si="1"/>
        <v>10</v>
      </c>
      <c r="N21" s="44">
        <v>19</v>
      </c>
      <c r="O21" t="s">
        <v>227</v>
      </c>
      <c r="P21">
        <v>15</v>
      </c>
      <c r="Q21">
        <v>1</v>
      </c>
      <c r="R21">
        <f t="shared" si="2"/>
        <v>15</v>
      </c>
    </row>
    <row r="22" spans="1:18" x14ac:dyDescent="0.25">
      <c r="A22">
        <v>20</v>
      </c>
      <c r="B22" t="s">
        <v>241</v>
      </c>
      <c r="C22">
        <v>1</v>
      </c>
      <c r="D22">
        <v>1</v>
      </c>
      <c r="E22">
        <f t="shared" si="0"/>
        <v>1</v>
      </c>
      <c r="H22">
        <v>20</v>
      </c>
      <c r="I22" t="s">
        <v>236</v>
      </c>
      <c r="J22">
        <v>90</v>
      </c>
      <c r="K22">
        <v>1</v>
      </c>
      <c r="L22">
        <f t="shared" si="1"/>
        <v>90</v>
      </c>
      <c r="N22">
        <v>20</v>
      </c>
      <c r="O22" t="s">
        <v>228</v>
      </c>
      <c r="P22">
        <v>25</v>
      </c>
      <c r="Q22">
        <v>1</v>
      </c>
      <c r="R22">
        <f t="shared" si="2"/>
        <v>25</v>
      </c>
    </row>
    <row r="23" spans="1:18" x14ac:dyDescent="0.25">
      <c r="B23" t="s">
        <v>7</v>
      </c>
      <c r="E23">
        <f>SUM(E3:E22)</f>
        <v>1266</v>
      </c>
      <c r="H23">
        <v>21</v>
      </c>
      <c r="I23" t="s">
        <v>241</v>
      </c>
      <c r="J23">
        <v>1</v>
      </c>
      <c r="K23">
        <v>1</v>
      </c>
      <c r="L23">
        <f t="shared" si="1"/>
        <v>1</v>
      </c>
      <c r="N23">
        <v>21</v>
      </c>
      <c r="O23" t="s">
        <v>241</v>
      </c>
      <c r="P23">
        <v>1</v>
      </c>
      <c r="Q23">
        <v>1</v>
      </c>
      <c r="R23">
        <f t="shared" si="2"/>
        <v>1</v>
      </c>
    </row>
    <row r="24" spans="1:18" x14ac:dyDescent="0.25">
      <c r="B24" t="s">
        <v>237</v>
      </c>
      <c r="E24">
        <v>1699</v>
      </c>
      <c r="I24" t="s">
        <v>7</v>
      </c>
      <c r="L24">
        <f>SUM(L3:L23)</f>
        <v>1356</v>
      </c>
      <c r="O24" t="s">
        <v>27</v>
      </c>
      <c r="R24">
        <f>SUM(R3:R23)</f>
        <v>1011</v>
      </c>
    </row>
    <row r="25" spans="1:18" x14ac:dyDescent="0.25">
      <c r="I25" t="s">
        <v>237</v>
      </c>
      <c r="L25">
        <v>1799</v>
      </c>
      <c r="O25" t="s">
        <v>237</v>
      </c>
      <c r="R25">
        <v>1399</v>
      </c>
    </row>
    <row r="26" spans="1:18" x14ac:dyDescent="0.25">
      <c r="E26" s="54">
        <v>0.4</v>
      </c>
    </row>
    <row r="27" spans="1:18" x14ac:dyDescent="0.25">
      <c r="B27" t="s">
        <v>242</v>
      </c>
      <c r="E27">
        <f>288000*0.4</f>
        <v>115200</v>
      </c>
      <c r="L27" s="54">
        <v>0.25</v>
      </c>
      <c r="R27" s="54">
        <v>0.35</v>
      </c>
    </row>
    <row r="28" spans="1:18" x14ac:dyDescent="0.25">
      <c r="B28" t="s">
        <v>244</v>
      </c>
      <c r="E28" s="52">
        <f>E27*E23</f>
        <v>145843200</v>
      </c>
      <c r="I28" t="s">
        <v>242</v>
      </c>
      <c r="L28">
        <f>288000*0.25</f>
        <v>72000</v>
      </c>
      <c r="O28" t="s">
        <v>242</v>
      </c>
      <c r="R28">
        <f>288000*0.35</f>
        <v>100800</v>
      </c>
    </row>
    <row r="29" spans="1:18" x14ac:dyDescent="0.25">
      <c r="B29" t="s">
        <v>245</v>
      </c>
      <c r="E29" s="52">
        <f>4095*E28</f>
        <v>597227904000</v>
      </c>
      <c r="I29" t="s">
        <v>243</v>
      </c>
      <c r="L29" s="52">
        <f>L28*L24</f>
        <v>97632000</v>
      </c>
      <c r="O29" t="s">
        <v>243</v>
      </c>
      <c r="R29" s="52">
        <f>R28*R24</f>
        <v>101908800</v>
      </c>
    </row>
    <row r="30" spans="1:18" x14ac:dyDescent="0.25">
      <c r="I30" t="s">
        <v>245</v>
      </c>
      <c r="L30" s="52">
        <f>4095*L29</f>
        <v>399803040000</v>
      </c>
      <c r="O30" t="s">
        <v>245</v>
      </c>
      <c r="R30" s="52">
        <f>4095*R29</f>
        <v>417316536000</v>
      </c>
    </row>
  </sheetData>
  <mergeCells count="3">
    <mergeCell ref="A1:E1"/>
    <mergeCell ref="H1:L1"/>
    <mergeCell ref="N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Costos de Producción</vt:lpstr>
      <vt:lpstr>Flujo de Caja e Indicadores</vt:lpstr>
      <vt:lpstr>Comparativa Indicadores</vt:lpstr>
      <vt:lpstr>Nomina</vt:lpstr>
      <vt:lpstr>Costos de Inversión Inicial</vt:lpstr>
      <vt:lpstr>Proyeccion de ventas</vt:lpstr>
      <vt:lpstr>Herramientas de Personal</vt:lpstr>
      <vt:lpstr>Costos Materia Prima Biciletas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Alejandro Lopez Arias</dc:creator>
  <cp:lastModifiedBy>Johan Alejandro Lopez Arias</cp:lastModifiedBy>
  <dcterms:created xsi:type="dcterms:W3CDTF">2025-07-20T01:30:45Z</dcterms:created>
  <dcterms:modified xsi:type="dcterms:W3CDTF">2025-07-25T14:24:18Z</dcterms:modified>
</cp:coreProperties>
</file>