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3.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timelines/timeline4.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timelines/timeline5.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code\expense-tracker\"/>
    </mc:Choice>
  </mc:AlternateContent>
  <xr:revisionPtr revIDLastSave="0" documentId="13_ncr:1_{54EAA77F-E586-4741-8309-3BA1746A9F75}" xr6:coauthVersionLast="47" xr6:coauthVersionMax="47" xr10:uidLastSave="{00000000-0000-0000-0000-000000000000}"/>
  <bookViews>
    <workbookView xWindow="-96" yWindow="0" windowWidth="11712" windowHeight="12336" tabRatio="747" firstSheet="3" activeTab="3" xr2:uid="{9208B8F1-656B-4243-A165-B57573EC9A48}"/>
  </bookViews>
  <sheets>
    <sheet name="Detailed Budget" sheetId="2" r:id="rId1"/>
    <sheet name="Budget" sheetId="11" r:id="rId2"/>
    <sheet name="Expenses Reference" sheetId="16" r:id="rId3"/>
    <sheet name="Expenses" sheetId="9" r:id="rId4"/>
    <sheet name="Monthly Expenses (stacked)" sheetId="21" r:id="rId5"/>
    <sheet name="Monthly Expenses" sheetId="18" r:id="rId6"/>
    <sheet name="Purpose-Wise Expenses" sheetId="22" r:id="rId7"/>
    <sheet name="Monthly Purpose-Wise Expenses" sheetId="23" r:id="rId8"/>
    <sheet name="Monthly Category-Wise Expenses" sheetId="24" r:id="rId9"/>
    <sheet name="Category-Wise Expenses" sheetId="19" r:id="rId10"/>
    <sheet name="Sub-Category-Wise Expenses" sheetId="20" r:id="rId11"/>
  </sheets>
  <definedNames>
    <definedName name="_xlnm._FilterDatabase" localSheetId="3" hidden="1">Expenses!$A$1:$H$815</definedName>
    <definedName name="_xlchart.v1.0" hidden="1">Budget!$A$2:$B$27</definedName>
    <definedName name="_xlchart.v1.1" hidden="1">Budget!$C$1</definedName>
    <definedName name="_xlchart.v1.2" hidden="1">Budget!$C$2:$C$27</definedName>
    <definedName name="NativeTimeline_Date1">#N/A</definedName>
    <definedName name="NativeTimeline_Date11">#N/A</definedName>
    <definedName name="NativeTimeline_Date12">#N/A</definedName>
    <definedName name="NativeTimeline_Date2">#N/A</definedName>
    <definedName name="NativeTimeline_Date21">#N/A</definedName>
    <definedName name="Slicer_Category">#N/A</definedName>
    <definedName name="Slicer_Category1">#N/A</definedName>
    <definedName name="Slicer_Category2">#N/A</definedName>
    <definedName name="Slicer_Category21">#N/A</definedName>
    <definedName name="Slicer_Category3">#N/A</definedName>
    <definedName name="Slicer_Purpose">#N/A</definedName>
    <definedName name="Slicer_Purpose1">#N/A</definedName>
    <definedName name="Slicer_Sub_Category">#N/A</definedName>
    <definedName name="Slicer_Sub_Category1">#N/A</definedName>
    <definedName name="Slicer_Sub_Category2">#N/A</definedName>
    <definedName name="Slicer_Sub_Category3">#N/A</definedName>
    <definedName name="Slicer_Sub_Category3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 r:id="rId27"/>
        <x15:timelineCacheRef r:id="rId28"/>
        <x15:timelineCacheRef r:id="rId29"/>
        <x15:timelineCacheRef r:id="rId3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36" i="9" l="1"/>
  <c r="F865" i="9"/>
  <c r="C865" i="9"/>
  <c r="A865" i="9"/>
  <c r="F848" i="9"/>
  <c r="C848" i="9"/>
  <c r="A848" i="9"/>
  <c r="E859" i="9"/>
  <c r="E864" i="9"/>
  <c r="E855" i="9"/>
  <c r="C864" i="9"/>
  <c r="C863" i="9"/>
  <c r="C862" i="9"/>
  <c r="C861" i="9"/>
  <c r="C860" i="9"/>
  <c r="C859" i="9"/>
  <c r="C858" i="9"/>
  <c r="C857" i="9"/>
  <c r="C856" i="9"/>
  <c r="C855" i="9"/>
  <c r="C854" i="9"/>
  <c r="C853" i="9"/>
  <c r="C852" i="9"/>
  <c r="C851" i="9"/>
  <c r="C850" i="9"/>
  <c r="C849" i="9"/>
  <c r="C847" i="9"/>
  <c r="C846" i="9"/>
  <c r="C845" i="9"/>
  <c r="C844" i="9"/>
  <c r="C843" i="9"/>
  <c r="C842" i="9"/>
  <c r="C841" i="9"/>
  <c r="C840" i="9"/>
  <c r="C839" i="9"/>
  <c r="C838" i="9"/>
  <c r="C837" i="9"/>
  <c r="C836" i="9"/>
  <c r="C835" i="9"/>
  <c r="C834" i="9"/>
  <c r="C833" i="9"/>
  <c r="C832" i="9"/>
  <c r="C831" i="9"/>
  <c r="C830" i="9"/>
  <c r="C829" i="9"/>
  <c r="C828" i="9"/>
  <c r="C827" i="9"/>
  <c r="C826" i="9"/>
  <c r="C825" i="9"/>
  <c r="C824" i="9"/>
  <c r="C823" i="9"/>
  <c r="C822" i="9"/>
  <c r="C821" i="9"/>
  <c r="C820" i="9"/>
  <c r="C819" i="9"/>
  <c r="C818" i="9"/>
  <c r="C817" i="9"/>
  <c r="A864" i="9"/>
  <c r="A863" i="9"/>
  <c r="A862" i="9"/>
  <c r="A861" i="9"/>
  <c r="A860" i="9"/>
  <c r="A859" i="9"/>
  <c r="A858" i="9"/>
  <c r="A857" i="9"/>
  <c r="A856" i="9"/>
  <c r="A855" i="9"/>
  <c r="A854" i="9"/>
  <c r="A853" i="9"/>
  <c r="A852" i="9"/>
  <c r="A851" i="9"/>
  <c r="A850" i="9"/>
  <c r="A849"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F864" i="9"/>
  <c r="F863" i="9"/>
  <c r="F862" i="9"/>
  <c r="F861" i="9"/>
  <c r="F860" i="9"/>
  <c r="F859" i="9"/>
  <c r="F858" i="9"/>
  <c r="F857" i="9"/>
  <c r="F856" i="9"/>
  <c r="F855" i="9"/>
  <c r="F854" i="9"/>
  <c r="F853" i="9"/>
  <c r="F852" i="9"/>
  <c r="F851" i="9"/>
  <c r="F850" i="9"/>
  <c r="F849" i="9"/>
  <c r="F847" i="9"/>
  <c r="F846" i="9"/>
  <c r="F845" i="9"/>
  <c r="F844" i="9"/>
  <c r="F843" i="9"/>
  <c r="F842" i="9"/>
  <c r="F841" i="9"/>
  <c r="F840" i="9"/>
  <c r="F839" i="9"/>
  <c r="F838" i="9"/>
  <c r="F837" i="9"/>
  <c r="F836" i="9"/>
  <c r="F835" i="9"/>
  <c r="F834" i="9"/>
  <c r="F833" i="9"/>
  <c r="F832" i="9"/>
  <c r="F831" i="9"/>
  <c r="F830" i="9"/>
  <c r="F829" i="9"/>
  <c r="F828" i="9"/>
  <c r="F827" i="9"/>
  <c r="F826" i="9"/>
  <c r="F825" i="9"/>
  <c r="F824" i="9"/>
  <c r="F823" i="9"/>
  <c r="F822" i="9"/>
  <c r="F821" i="9"/>
  <c r="F820" i="9"/>
  <c r="F819" i="9"/>
  <c r="F818" i="9"/>
  <c r="F817" i="9"/>
  <c r="F816" i="9"/>
  <c r="E820" i="9"/>
  <c r="E817" i="9"/>
  <c r="A816" i="9"/>
  <c r="C816" i="9"/>
  <c r="F815" i="9"/>
  <c r="F814" i="9"/>
  <c r="F813" i="9"/>
  <c r="F812" i="9"/>
  <c r="F811" i="9"/>
  <c r="F810" i="9"/>
  <c r="F809" i="9"/>
  <c r="F808" i="9"/>
  <c r="F807" i="9"/>
  <c r="F806" i="9"/>
  <c r="F805" i="9"/>
  <c r="F804" i="9"/>
  <c r="F803" i="9"/>
  <c r="F802" i="9"/>
  <c r="F801" i="9"/>
  <c r="F800" i="9"/>
  <c r="F799" i="9"/>
  <c r="F798" i="9"/>
  <c r="F797" i="9"/>
  <c r="F796" i="9"/>
  <c r="F795" i="9"/>
  <c r="F794" i="9"/>
  <c r="F793" i="9"/>
  <c r="F792" i="9"/>
  <c r="F791" i="9"/>
  <c r="F790" i="9"/>
  <c r="F789" i="9"/>
  <c r="F788" i="9"/>
  <c r="F787" i="9"/>
  <c r="F786" i="9"/>
  <c r="F785" i="9"/>
  <c r="F784" i="9"/>
  <c r="F783" i="9"/>
  <c r="F782" i="9"/>
  <c r="F781" i="9"/>
  <c r="F780" i="9"/>
  <c r="F779" i="9"/>
  <c r="F778" i="9"/>
  <c r="F777" i="9"/>
  <c r="F776" i="9"/>
  <c r="F775" i="9"/>
  <c r="F774" i="9"/>
  <c r="F773" i="9"/>
  <c r="F772" i="9"/>
  <c r="F771" i="9"/>
  <c r="F770" i="9"/>
  <c r="F769" i="9"/>
  <c r="F768" i="9"/>
  <c r="F767" i="9"/>
  <c r="F766" i="9"/>
  <c r="F765" i="9"/>
  <c r="F764" i="9"/>
  <c r="F763" i="9"/>
  <c r="F762" i="9"/>
  <c r="F761" i="9"/>
  <c r="F760" i="9"/>
  <c r="F759" i="9"/>
  <c r="F758" i="9"/>
  <c r="F757"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C815" i="9"/>
  <c r="C814" i="9"/>
  <c r="C813" i="9"/>
  <c r="C812" i="9"/>
  <c r="C811" i="9"/>
  <c r="C810" i="9"/>
  <c r="C809" i="9"/>
  <c r="C808" i="9"/>
  <c r="C807" i="9"/>
  <c r="C806" i="9"/>
  <c r="C805" i="9"/>
  <c r="C804" i="9"/>
  <c r="C803" i="9"/>
  <c r="C802" i="9"/>
  <c r="C801" i="9"/>
  <c r="C800" i="9"/>
  <c r="C799" i="9"/>
  <c r="C798" i="9"/>
  <c r="C797" i="9"/>
  <c r="C796" i="9"/>
  <c r="C795" i="9"/>
  <c r="C794" i="9"/>
  <c r="C793" i="9"/>
  <c r="C792" i="9"/>
  <c r="C791" i="9"/>
  <c r="C790" i="9"/>
  <c r="C789" i="9"/>
  <c r="C788" i="9"/>
  <c r="C787" i="9"/>
  <c r="C786" i="9"/>
  <c r="C785" i="9"/>
  <c r="C784" i="9"/>
  <c r="C783" i="9"/>
  <c r="C782" i="9"/>
  <c r="C781" i="9"/>
  <c r="C780" i="9"/>
  <c r="C779" i="9"/>
  <c r="C778" i="9"/>
  <c r="C777" i="9"/>
  <c r="C776" i="9"/>
  <c r="C775" i="9"/>
  <c r="C774" i="9"/>
  <c r="C773" i="9"/>
  <c r="C772" i="9"/>
  <c r="C771" i="9"/>
  <c r="C770" i="9"/>
  <c r="C769" i="9"/>
  <c r="C768" i="9"/>
  <c r="C767" i="9"/>
  <c r="C766" i="9"/>
  <c r="C765" i="9"/>
  <c r="C764" i="9"/>
  <c r="C763" i="9"/>
  <c r="C762" i="9"/>
  <c r="C761" i="9"/>
  <c r="C760" i="9"/>
  <c r="C759" i="9"/>
  <c r="C758" i="9"/>
  <c r="C757" i="9"/>
  <c r="E785" i="9"/>
  <c r="E779" i="9"/>
  <c r="E766" i="9"/>
  <c r="F756" i="9"/>
  <c r="C756" i="9"/>
  <c r="A756" i="9"/>
  <c r="F755" i="9"/>
  <c r="C755" i="9"/>
  <c r="A755" i="9"/>
  <c r="F754" i="9"/>
  <c r="C754" i="9"/>
  <c r="A754" i="9"/>
  <c r="F753" i="9"/>
  <c r="C753" i="9"/>
  <c r="A753" i="9"/>
  <c r="F752" i="9"/>
  <c r="C752" i="9"/>
  <c r="A752" i="9"/>
  <c r="F751" i="9"/>
  <c r="C751" i="9"/>
  <c r="A751" i="9"/>
  <c r="F750" i="9"/>
  <c r="C750" i="9"/>
  <c r="A750" i="9"/>
  <c r="F749" i="9"/>
  <c r="C749" i="9"/>
  <c r="A749" i="9"/>
  <c r="F748" i="9"/>
  <c r="C748" i="9"/>
  <c r="A748" i="9"/>
  <c r="F747" i="9"/>
  <c r="C747" i="9"/>
  <c r="A747" i="9"/>
  <c r="F746" i="9"/>
  <c r="C746" i="9"/>
  <c r="A746" i="9"/>
  <c r="F745" i="9"/>
  <c r="C745" i="9"/>
  <c r="A745" i="9"/>
  <c r="F744" i="9"/>
  <c r="C744" i="9"/>
  <c r="A744" i="9"/>
  <c r="F743" i="9"/>
  <c r="C743" i="9"/>
  <c r="A743" i="9"/>
  <c r="F742" i="9"/>
  <c r="C742" i="9"/>
  <c r="A742" i="9"/>
  <c r="F741" i="9"/>
  <c r="C741" i="9"/>
  <c r="A741" i="9"/>
  <c r="F740" i="9"/>
  <c r="C740" i="9"/>
  <c r="A740" i="9"/>
  <c r="F739" i="9"/>
  <c r="C739" i="9"/>
  <c r="A739" i="9"/>
  <c r="F738" i="9"/>
  <c r="C738" i="9"/>
  <c r="A738" i="9"/>
  <c r="F737" i="9"/>
  <c r="F736" i="9"/>
  <c r="F735" i="9"/>
  <c r="F734" i="9"/>
  <c r="C737" i="9"/>
  <c r="A737" i="9"/>
  <c r="C736" i="9"/>
  <c r="A736" i="9"/>
  <c r="C735" i="9"/>
  <c r="A735" i="9"/>
  <c r="C734" i="9"/>
  <c r="A734" i="9"/>
  <c r="F733" i="9"/>
  <c r="C733" i="9"/>
  <c r="A733" i="9"/>
  <c r="F732" i="9"/>
  <c r="C732" i="9"/>
  <c r="A732" i="9"/>
  <c r="F731" i="9"/>
  <c r="C731" i="9"/>
  <c r="A731" i="9"/>
  <c r="F730" i="9"/>
  <c r="C730" i="9"/>
  <c r="A730" i="9"/>
  <c r="F729" i="9"/>
  <c r="C729" i="9"/>
  <c r="A729" i="9"/>
  <c r="F728" i="9"/>
  <c r="C728" i="9"/>
  <c r="A728" i="9"/>
  <c r="E724" i="9"/>
  <c r="E722" i="9"/>
  <c r="F713" i="9"/>
  <c r="C713" i="9"/>
  <c r="A713" i="9"/>
  <c r="F727" i="9"/>
  <c r="F726" i="9"/>
  <c r="F725" i="9"/>
  <c r="F724" i="9"/>
  <c r="F723" i="9"/>
  <c r="F722" i="9"/>
  <c r="C727" i="9"/>
  <c r="A727" i="9"/>
  <c r="C726" i="9"/>
  <c r="A726" i="9"/>
  <c r="C725" i="9"/>
  <c r="A725" i="9"/>
  <c r="C724" i="9"/>
  <c r="A724" i="9"/>
  <c r="C723" i="9"/>
  <c r="A723" i="9"/>
  <c r="C722" i="9"/>
  <c r="A722" i="9"/>
  <c r="E720" i="9"/>
  <c r="E711" i="9"/>
  <c r="E707" i="9"/>
  <c r="E706" i="9"/>
  <c r="F721" i="9"/>
  <c r="C721" i="9"/>
  <c r="A721" i="9"/>
  <c r="F720" i="9"/>
  <c r="C720" i="9"/>
  <c r="A720" i="9"/>
  <c r="F719" i="9"/>
  <c r="C719" i="9"/>
  <c r="A719" i="9"/>
  <c r="F718" i="9" l="1"/>
  <c r="C718" i="9"/>
  <c r="A718" i="9"/>
  <c r="F717" i="9"/>
  <c r="F716" i="9"/>
  <c r="F715" i="9"/>
  <c r="F714" i="9"/>
  <c r="F712" i="9"/>
  <c r="F711" i="9"/>
  <c r="F710" i="9"/>
  <c r="F709" i="9"/>
  <c r="F708" i="9"/>
  <c r="F707" i="9"/>
  <c r="F706" i="9"/>
  <c r="F705" i="9"/>
  <c r="F704" i="9"/>
  <c r="F703" i="9"/>
  <c r="F702" i="9"/>
  <c r="F701" i="9"/>
  <c r="F700" i="9"/>
  <c r="F699" i="9"/>
  <c r="C717" i="9"/>
  <c r="A717" i="9"/>
  <c r="C716" i="9"/>
  <c r="A716" i="9"/>
  <c r="C715" i="9"/>
  <c r="A715" i="9"/>
  <c r="C714" i="9"/>
  <c r="A714" i="9"/>
  <c r="C712" i="9"/>
  <c r="A712" i="9"/>
  <c r="C711" i="9"/>
  <c r="A711" i="9"/>
  <c r="C710" i="9"/>
  <c r="A710" i="9"/>
  <c r="C709" i="9"/>
  <c r="A709" i="9"/>
  <c r="C708" i="9"/>
  <c r="A708" i="9"/>
  <c r="C707" i="9"/>
  <c r="A707" i="9"/>
  <c r="C706" i="9"/>
  <c r="A706" i="9"/>
  <c r="C705" i="9"/>
  <c r="A705" i="9"/>
  <c r="C704" i="9"/>
  <c r="A704" i="9"/>
  <c r="C703" i="9"/>
  <c r="A703" i="9"/>
  <c r="C702" i="9"/>
  <c r="A702" i="9"/>
  <c r="C701" i="9"/>
  <c r="A701" i="9"/>
  <c r="C700" i="9"/>
  <c r="A700" i="9"/>
  <c r="C699" i="9"/>
  <c r="A699" i="9"/>
  <c r="F698" i="9"/>
  <c r="C698" i="9"/>
  <c r="A698" i="9"/>
  <c r="F697" i="9"/>
  <c r="F696" i="9"/>
  <c r="F695" i="9"/>
  <c r="F694" i="9"/>
  <c r="F693" i="9"/>
  <c r="C697" i="9"/>
  <c r="A697" i="9"/>
  <c r="C696" i="9"/>
  <c r="A696" i="9"/>
  <c r="C695" i="9"/>
  <c r="A695" i="9"/>
  <c r="C694" i="9"/>
  <c r="A694" i="9"/>
  <c r="C693" i="9"/>
  <c r="A693" i="9"/>
  <c r="C692" i="9"/>
  <c r="A692" i="9"/>
  <c r="C691" i="9"/>
  <c r="A691" i="9"/>
  <c r="C690" i="9"/>
  <c r="A690" i="9"/>
  <c r="C689" i="9"/>
  <c r="A689" i="9"/>
  <c r="C688" i="9"/>
  <c r="A688" i="9"/>
  <c r="F692" i="9"/>
  <c r="F691" i="9"/>
  <c r="F690" i="9"/>
  <c r="F689" i="9"/>
  <c r="F688" i="9"/>
  <c r="F687" i="9"/>
  <c r="F686" i="9"/>
  <c r="F685" i="9"/>
  <c r="C687" i="9"/>
  <c r="A687" i="9"/>
  <c r="C686" i="9"/>
  <c r="A686" i="9"/>
  <c r="C685" i="9"/>
  <c r="A685" i="9"/>
  <c r="F684" i="9"/>
  <c r="F683" i="9"/>
  <c r="E679" i="9"/>
  <c r="F678" i="9"/>
  <c r="F677" i="9"/>
  <c r="F676" i="9"/>
  <c r="F675" i="9"/>
  <c r="F674" i="9"/>
  <c r="C684" i="9"/>
  <c r="A684" i="9"/>
  <c r="C683" i="9"/>
  <c r="A683" i="9"/>
  <c r="C682" i="9"/>
  <c r="A682" i="9"/>
  <c r="C681" i="9"/>
  <c r="A681" i="9"/>
  <c r="C680" i="9"/>
  <c r="A680" i="9"/>
  <c r="C679" i="9"/>
  <c r="A679" i="9"/>
  <c r="C678" i="9"/>
  <c r="A678" i="9"/>
  <c r="C677" i="9"/>
  <c r="A677" i="9"/>
  <c r="C676" i="9"/>
  <c r="A676" i="9"/>
  <c r="C675" i="9"/>
  <c r="A675" i="9"/>
  <c r="C674" i="9"/>
  <c r="A674" i="9"/>
  <c r="F682" i="9"/>
  <c r="F681" i="9"/>
  <c r="F680" i="9"/>
  <c r="F679" i="9"/>
  <c r="F673" i="9"/>
  <c r="C673" i="9"/>
  <c r="A673" i="9"/>
  <c r="C672" i="9"/>
  <c r="A672" i="9"/>
  <c r="F672" i="9"/>
  <c r="F671" i="9" l="1"/>
  <c r="C671" i="9"/>
  <c r="A671" i="9"/>
  <c r="C670" i="9"/>
  <c r="A670" i="9"/>
  <c r="C669" i="9"/>
  <c r="A669" i="9"/>
  <c r="C668" i="9"/>
  <c r="A668" i="9"/>
  <c r="C667" i="9"/>
  <c r="A667" i="9"/>
  <c r="F670" i="9"/>
  <c r="F669" i="9"/>
  <c r="F668" i="9"/>
  <c r="F667" i="9"/>
  <c r="F666" i="9"/>
  <c r="C666" i="9"/>
  <c r="A666" i="9"/>
  <c r="F662" i="9"/>
  <c r="F665" i="9"/>
  <c r="C665" i="9"/>
  <c r="A665" i="9"/>
  <c r="F661" i="9"/>
  <c r="C661" i="9"/>
  <c r="A661" i="9"/>
  <c r="F660" i="9"/>
  <c r="C660" i="9"/>
  <c r="A660" i="9"/>
  <c r="F664" i="9"/>
  <c r="C664" i="9"/>
  <c r="A664" i="9"/>
  <c r="C663" i="9"/>
  <c r="C662" i="9"/>
  <c r="C659" i="9"/>
  <c r="C658" i="9"/>
  <c r="C657" i="9"/>
  <c r="C656" i="9"/>
  <c r="C655" i="9"/>
  <c r="C654" i="9"/>
  <c r="C653" i="9"/>
  <c r="C652" i="9"/>
  <c r="C651" i="9"/>
  <c r="C650" i="9"/>
  <c r="C649" i="9"/>
  <c r="C648" i="9"/>
  <c r="C647" i="9"/>
  <c r="A663" i="9"/>
  <c r="A662" i="9"/>
  <c r="A659" i="9"/>
  <c r="A658" i="9"/>
  <c r="A657" i="9"/>
  <c r="A656" i="9"/>
  <c r="A655" i="9"/>
  <c r="A654" i="9"/>
  <c r="A653" i="9"/>
  <c r="A652" i="9"/>
  <c r="A651" i="9"/>
  <c r="A650" i="9"/>
  <c r="A649" i="9"/>
  <c r="A648" i="9"/>
  <c r="A647" i="9"/>
  <c r="F657" i="9"/>
  <c r="F653" i="9"/>
  <c r="F652" i="9"/>
  <c r="F650" i="9"/>
  <c r="F649" i="9"/>
  <c r="F648" i="9"/>
  <c r="A646" i="9"/>
  <c r="C646" i="9"/>
  <c r="F663" i="9"/>
  <c r="F659" i="9"/>
  <c r="F658" i="9"/>
  <c r="F655" i="9"/>
  <c r="F654" i="9"/>
  <c r="F656" i="9"/>
  <c r="F651" i="9"/>
  <c r="F647" i="9"/>
  <c r="F646" i="9"/>
  <c r="E642" i="9"/>
  <c r="F645" i="9"/>
  <c r="C645" i="9"/>
  <c r="A645" i="9"/>
  <c r="F644" i="9"/>
  <c r="C644" i="9"/>
  <c r="A644" i="9"/>
  <c r="F643" i="9"/>
  <c r="C643" i="9"/>
  <c r="A643" i="9"/>
  <c r="F642" i="9"/>
  <c r="F641" i="9"/>
  <c r="F640" i="9"/>
  <c r="C642" i="9"/>
  <c r="A642" i="9"/>
  <c r="C641" i="9"/>
  <c r="A641" i="9"/>
  <c r="C640" i="9"/>
  <c r="A640" i="9"/>
  <c r="F629" i="9"/>
  <c r="C629" i="9"/>
  <c r="A629" i="9"/>
  <c r="E634" i="9"/>
  <c r="F639" i="9"/>
  <c r="C639" i="9"/>
  <c r="A639" i="9"/>
  <c r="F638" i="9"/>
  <c r="C638" i="9"/>
  <c r="A638" i="9"/>
  <c r="F637" i="9"/>
  <c r="C637" i="9"/>
  <c r="A637" i="9"/>
  <c r="F636" i="9"/>
  <c r="C636" i="9"/>
  <c r="A636" i="9"/>
  <c r="F635" i="9"/>
  <c r="C635" i="9"/>
  <c r="A635" i="9"/>
  <c r="F634" i="9"/>
  <c r="C634" i="9"/>
  <c r="A634" i="9"/>
  <c r="F633" i="9"/>
  <c r="C633" i="9"/>
  <c r="A633" i="9"/>
  <c r="F632" i="9"/>
  <c r="C632" i="9"/>
  <c r="A632" i="9"/>
  <c r="F631" i="9"/>
  <c r="C631" i="9"/>
  <c r="A631" i="9"/>
  <c r="C630" i="9"/>
  <c r="A630" i="9"/>
  <c r="C628" i="9"/>
  <c r="A628" i="9"/>
  <c r="F630" i="9"/>
  <c r="F628" i="9"/>
  <c r="E626" i="9"/>
  <c r="F626" i="9"/>
  <c r="C626" i="9"/>
  <c r="A626" i="9"/>
  <c r="A627"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F627" i="9"/>
  <c r="C627" i="9"/>
  <c r="F625" i="9"/>
  <c r="C625" i="9"/>
  <c r="E621" i="9"/>
  <c r="F622" i="9"/>
  <c r="C622" i="9"/>
  <c r="F623" i="9"/>
  <c r="E623" i="9"/>
  <c r="C623" i="9"/>
  <c r="E624" i="9"/>
  <c r="E619" i="9"/>
  <c r="E583" i="9"/>
  <c r="E582" i="9"/>
  <c r="E2" i="9"/>
  <c r="F3" i="9"/>
  <c r="C3" i="9"/>
  <c r="C432" i="9"/>
  <c r="F432" i="9"/>
  <c r="I172" i="9"/>
  <c r="F595" i="9"/>
  <c r="F594" i="9"/>
  <c r="C595" i="9"/>
  <c r="C594" i="9"/>
  <c r="E581" i="9"/>
  <c r="E578" i="9"/>
  <c r="E570" i="9"/>
  <c r="E551" i="9"/>
  <c r="F555" i="9"/>
  <c r="C555" i="9"/>
  <c r="C557" i="9"/>
  <c r="C556" i="9"/>
  <c r="F557" i="9"/>
  <c r="F556" i="9"/>
  <c r="E533" i="9"/>
  <c r="F624" i="9"/>
  <c r="C624" i="9"/>
  <c r="F621" i="9"/>
  <c r="C621" i="9"/>
  <c r="F620" i="9"/>
  <c r="C620" i="9"/>
  <c r="F619" i="9"/>
  <c r="C619" i="9"/>
  <c r="F618" i="9"/>
  <c r="C618" i="9"/>
  <c r="F617" i="9"/>
  <c r="C617" i="9"/>
  <c r="F616" i="9"/>
  <c r="C616" i="9"/>
  <c r="F615" i="9"/>
  <c r="C615" i="9"/>
  <c r="F614" i="9"/>
  <c r="C614" i="9"/>
  <c r="F613" i="9"/>
  <c r="C613" i="9"/>
  <c r="F612" i="9"/>
  <c r="C612" i="9"/>
  <c r="F611" i="9"/>
  <c r="C611" i="9"/>
  <c r="F610" i="9"/>
  <c r="C610" i="9"/>
  <c r="F609" i="9"/>
  <c r="C609" i="9"/>
  <c r="F608" i="9"/>
  <c r="C608" i="9"/>
  <c r="F607" i="9"/>
  <c r="C607" i="9"/>
  <c r="F606" i="9"/>
  <c r="C606" i="9"/>
  <c r="F605" i="9"/>
  <c r="C605" i="9"/>
  <c r="F604" i="9"/>
  <c r="C604" i="9"/>
  <c r="F603" i="9"/>
  <c r="C603" i="9"/>
  <c r="F602" i="9"/>
  <c r="C602" i="9"/>
  <c r="F601" i="9"/>
  <c r="C601" i="9"/>
  <c r="F600" i="9"/>
  <c r="C600" i="9"/>
  <c r="F599" i="9"/>
  <c r="C599" i="9"/>
  <c r="F598" i="9"/>
  <c r="C598" i="9"/>
  <c r="F597" i="9"/>
  <c r="C597" i="9"/>
  <c r="F596" i="9"/>
  <c r="C596" i="9"/>
  <c r="F593" i="9"/>
  <c r="C593" i="9"/>
  <c r="F592" i="9"/>
  <c r="C592" i="9"/>
  <c r="F591" i="9"/>
  <c r="C591" i="9"/>
  <c r="F590" i="9"/>
  <c r="C590" i="9"/>
  <c r="F589" i="9"/>
  <c r="C589" i="9"/>
  <c r="F588" i="9"/>
  <c r="C588" i="9"/>
  <c r="F587" i="9"/>
  <c r="C587" i="9"/>
  <c r="F586" i="9"/>
  <c r="C586" i="9"/>
  <c r="F585" i="9"/>
  <c r="C585" i="9"/>
  <c r="F584" i="9"/>
  <c r="C584" i="9"/>
  <c r="F583" i="9"/>
  <c r="C583" i="9"/>
  <c r="F582" i="9"/>
  <c r="C582" i="9"/>
  <c r="F581" i="9"/>
  <c r="C581" i="9"/>
  <c r="F580" i="9"/>
  <c r="C580" i="9"/>
  <c r="F579" i="9"/>
  <c r="C579" i="9"/>
  <c r="F578" i="9"/>
  <c r="C578" i="9"/>
  <c r="F577" i="9"/>
  <c r="C577" i="9"/>
  <c r="F576" i="9"/>
  <c r="C576" i="9"/>
  <c r="F575" i="9"/>
  <c r="C575" i="9"/>
  <c r="F574" i="9"/>
  <c r="C574" i="9"/>
  <c r="F573" i="9"/>
  <c r="C573" i="9"/>
  <c r="F572" i="9"/>
  <c r="C572" i="9"/>
  <c r="F571" i="9"/>
  <c r="C571" i="9"/>
  <c r="F570" i="9"/>
  <c r="C570" i="9"/>
  <c r="F569" i="9"/>
  <c r="C569" i="9"/>
  <c r="F568" i="9"/>
  <c r="C568" i="9"/>
  <c r="F567" i="9"/>
  <c r="C567" i="9"/>
  <c r="F566" i="9"/>
  <c r="C566" i="9"/>
  <c r="F565" i="9"/>
  <c r="C565" i="9"/>
  <c r="F564" i="9"/>
  <c r="C564" i="9"/>
  <c r="F563" i="9"/>
  <c r="C563" i="9"/>
  <c r="F562" i="9"/>
  <c r="C562" i="9"/>
  <c r="F561" i="9"/>
  <c r="C561" i="9"/>
  <c r="F560" i="9"/>
  <c r="C560" i="9"/>
  <c r="F559" i="9"/>
  <c r="C559" i="9"/>
  <c r="F558" i="9"/>
  <c r="C558" i="9"/>
  <c r="F554" i="9"/>
  <c r="C554" i="9"/>
  <c r="F553" i="9"/>
  <c r="C553" i="9"/>
  <c r="F552" i="9"/>
  <c r="C552" i="9"/>
  <c r="F551" i="9"/>
  <c r="C551" i="9"/>
  <c r="F550" i="9"/>
  <c r="C550" i="9"/>
  <c r="F549" i="9"/>
  <c r="C549" i="9"/>
  <c r="F548" i="9"/>
  <c r="C548" i="9"/>
  <c r="F547" i="9"/>
  <c r="C547" i="9"/>
  <c r="F546" i="9"/>
  <c r="C546" i="9"/>
  <c r="F545" i="9"/>
  <c r="C545" i="9"/>
  <c r="F544" i="9"/>
  <c r="C544" i="9"/>
  <c r="F543" i="9"/>
  <c r="C543" i="9"/>
  <c r="F542" i="9"/>
  <c r="C542" i="9"/>
  <c r="F541" i="9"/>
  <c r="C541" i="9"/>
  <c r="F540" i="9"/>
  <c r="C540" i="9"/>
  <c r="F539" i="9"/>
  <c r="C539" i="9"/>
  <c r="F538" i="9"/>
  <c r="C538" i="9"/>
  <c r="F537" i="9"/>
  <c r="C537" i="9"/>
  <c r="F536" i="9"/>
  <c r="C536" i="9"/>
  <c r="F535" i="9"/>
  <c r="C535" i="9"/>
  <c r="F534" i="9"/>
  <c r="C534" i="9"/>
  <c r="F533" i="9"/>
  <c r="C533" i="9"/>
  <c r="F532" i="9"/>
  <c r="C532" i="9"/>
  <c r="F531" i="9"/>
  <c r="C531" i="9"/>
  <c r="F529" i="9"/>
  <c r="C529" i="9"/>
  <c r="F528" i="9"/>
  <c r="C528" i="9"/>
  <c r="E511" i="9"/>
  <c r="E524" i="9"/>
  <c r="F530" i="9"/>
  <c r="F527" i="9"/>
  <c r="C530" i="9"/>
  <c r="C527" i="9"/>
  <c r="F526" i="9"/>
  <c r="F525" i="9"/>
  <c r="F524" i="9"/>
  <c r="C526" i="9"/>
  <c r="C525" i="9"/>
  <c r="C524" i="9"/>
  <c r="F523" i="9"/>
  <c r="C523" i="9"/>
  <c r="E479" i="9"/>
  <c r="F477" i="9"/>
  <c r="C477" i="9"/>
  <c r="F470" i="9"/>
  <c r="C470" i="9"/>
  <c r="C522"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F489" i="9"/>
  <c r="F488" i="9"/>
  <c r="F487" i="9"/>
  <c r="F486" i="9"/>
  <c r="F485" i="9"/>
  <c r="F484" i="9"/>
  <c r="F483" i="9"/>
  <c r="F482" i="9"/>
  <c r="F481" i="9"/>
  <c r="F480" i="9"/>
  <c r="F479" i="9"/>
  <c r="F478" i="9"/>
  <c r="F476" i="9"/>
  <c r="F475" i="9"/>
  <c r="F474" i="9"/>
  <c r="F473" i="9"/>
  <c r="F472" i="9"/>
  <c r="F471" i="9"/>
  <c r="F469" i="9"/>
  <c r="F468" i="9"/>
  <c r="F467" i="9"/>
  <c r="F466" i="9"/>
  <c r="F465" i="9"/>
  <c r="F464" i="9"/>
  <c r="F463" i="9"/>
  <c r="F462" i="9"/>
  <c r="F461" i="9"/>
  <c r="F460" i="9"/>
  <c r="F459" i="9"/>
  <c r="F458" i="9"/>
  <c r="F457" i="9"/>
  <c r="F456"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6" i="9"/>
  <c r="C475" i="9"/>
  <c r="C474" i="9"/>
  <c r="C473" i="9"/>
  <c r="C472" i="9"/>
  <c r="C471"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F455" i="9"/>
  <c r="F454" i="9"/>
  <c r="F453" i="9"/>
  <c r="F452" i="9"/>
  <c r="F451" i="9"/>
  <c r="F450" i="9"/>
  <c r="F449" i="9"/>
  <c r="F448" i="9"/>
  <c r="F447" i="9"/>
  <c r="F446" i="9"/>
  <c r="F445" i="9"/>
  <c r="F444" i="9"/>
  <c r="F443" i="9"/>
  <c r="F442" i="9"/>
  <c r="F441" i="9"/>
  <c r="F440" i="9"/>
  <c r="F439" i="9"/>
  <c r="F438" i="9"/>
  <c r="F437" i="9"/>
  <c r="F436" i="9"/>
  <c r="F435" i="9"/>
  <c r="F434" i="9"/>
  <c r="E437" i="9"/>
  <c r="E436" i="9"/>
  <c r="C430" i="9"/>
  <c r="F430" i="9"/>
  <c r="E417" i="9"/>
  <c r="F433" i="9"/>
  <c r="C433" i="9"/>
  <c r="F431" i="9"/>
  <c r="C431" i="9"/>
  <c r="F429" i="9"/>
  <c r="C429" i="9"/>
  <c r="F428" i="9"/>
  <c r="C428" i="9"/>
  <c r="F427" i="9"/>
  <c r="C427" i="9"/>
  <c r="F426" i="9"/>
  <c r="C426" i="9"/>
  <c r="F425" i="9"/>
  <c r="C425" i="9"/>
  <c r="F424" i="9"/>
  <c r="C424" i="9"/>
  <c r="F423" i="9"/>
  <c r="C423" i="9"/>
  <c r="F422" i="9"/>
  <c r="C422" i="9"/>
  <c r="F421" i="9"/>
  <c r="C421" i="9"/>
  <c r="E418" i="9"/>
  <c r="E414" i="9"/>
  <c r="E416" i="9"/>
  <c r="E411" i="9"/>
  <c r="F416" i="9"/>
  <c r="F420" i="9"/>
  <c r="C420" i="9"/>
  <c r="F419" i="9"/>
  <c r="C419" i="9"/>
  <c r="F418" i="9"/>
  <c r="C418" i="9"/>
  <c r="F417" i="9"/>
  <c r="C417" i="9"/>
  <c r="C416" i="9"/>
  <c r="C415" i="9"/>
  <c r="C414" i="9"/>
  <c r="F415" i="9"/>
  <c r="F414" i="9"/>
  <c r="F413" i="9"/>
  <c r="F412" i="9"/>
  <c r="F411" i="9"/>
  <c r="C413" i="9"/>
  <c r="C412" i="9"/>
  <c r="C411" i="9"/>
  <c r="F410" i="9"/>
  <c r="C410" i="9"/>
  <c r="C409" i="9"/>
  <c r="C408" i="9"/>
  <c r="C407" i="9"/>
  <c r="C406" i="9"/>
  <c r="F409" i="9"/>
  <c r="F408" i="9"/>
  <c r="F407" i="9"/>
  <c r="F406" i="9"/>
  <c r="E397" i="9"/>
  <c r="E396" i="9"/>
  <c r="F396" i="9"/>
  <c r="C396" i="9"/>
  <c r="E387" i="9"/>
  <c r="E386" i="9"/>
  <c r="F405" i="9"/>
  <c r="C405" i="9"/>
  <c r="F404" i="9"/>
  <c r="C404" i="9"/>
  <c r="F403" i="9"/>
  <c r="C403" i="9"/>
  <c r="F402" i="9"/>
  <c r="C402" i="9"/>
  <c r="F401" i="9"/>
  <c r="C401" i="9"/>
  <c r="F400" i="9"/>
  <c r="C400" i="9"/>
  <c r="F399" i="9"/>
  <c r="C399" i="9"/>
  <c r="F398" i="9"/>
  <c r="C398" i="9"/>
  <c r="F397" i="9"/>
  <c r="C397" i="9"/>
  <c r="F395" i="9"/>
  <c r="C395" i="9"/>
  <c r="E383" i="9"/>
  <c r="C394" i="9"/>
  <c r="C393" i="9"/>
  <c r="C392" i="9"/>
  <c r="C391" i="9"/>
  <c r="C390" i="9"/>
  <c r="C389" i="9"/>
  <c r="C388" i="9"/>
  <c r="C387" i="9"/>
  <c r="C386" i="9"/>
  <c r="C385" i="9"/>
  <c r="C384" i="9"/>
  <c r="C383" i="9"/>
  <c r="C382" i="9"/>
  <c r="C381" i="9"/>
  <c r="C380" i="9"/>
  <c r="C379" i="9"/>
  <c r="C378" i="9"/>
  <c r="C377" i="9"/>
  <c r="C376" i="9"/>
  <c r="E375" i="9"/>
  <c r="F394" i="9"/>
  <c r="F393" i="9"/>
  <c r="F392" i="9"/>
  <c r="F391" i="9"/>
  <c r="F390" i="9"/>
  <c r="F389" i="9"/>
  <c r="F388" i="9"/>
  <c r="F387" i="9"/>
  <c r="F386" i="9"/>
  <c r="F385" i="9"/>
  <c r="F384" i="9"/>
  <c r="F383" i="9"/>
  <c r="F382" i="9"/>
  <c r="F381" i="9"/>
  <c r="F380" i="9"/>
  <c r="F379" i="9"/>
  <c r="F378" i="9"/>
  <c r="F377" i="9"/>
  <c r="F376" i="9"/>
  <c r="F375" i="9"/>
  <c r="C375" i="9"/>
  <c r="F374" i="9"/>
  <c r="C374" i="9"/>
  <c r="F373" i="9"/>
  <c r="C373" i="9"/>
  <c r="E371" i="9"/>
  <c r="F372" i="9"/>
  <c r="C372" i="9"/>
  <c r="F368" i="9"/>
  <c r="C368" i="9"/>
  <c r="C371" i="9"/>
  <c r="C370" i="9"/>
  <c r="F371" i="9"/>
  <c r="F370" i="9"/>
  <c r="C367" i="9"/>
  <c r="C366" i="9"/>
  <c r="C365" i="9"/>
  <c r="F369" i="9"/>
  <c r="F367" i="9"/>
  <c r="F366" i="9"/>
  <c r="F365" i="9"/>
  <c r="F364" i="9"/>
  <c r="F363" i="9"/>
  <c r="F362" i="9"/>
  <c r="F361" i="9"/>
  <c r="F360" i="9"/>
  <c r="F359" i="9"/>
  <c r="F358" i="9"/>
  <c r="F357" i="9"/>
  <c r="F356" i="9"/>
  <c r="C369" i="9"/>
  <c r="C364" i="9"/>
  <c r="C363" i="9"/>
  <c r="E364" i="9"/>
  <c r="C361" i="9"/>
  <c r="C360" i="9"/>
  <c r="C359" i="9"/>
  <c r="C358" i="9"/>
  <c r="C357" i="9"/>
  <c r="E357" i="9"/>
  <c r="C362" i="9"/>
  <c r="E361" i="9"/>
  <c r="C351" i="9"/>
  <c r="F351" i="9"/>
  <c r="F349" i="9"/>
  <c r="C349" i="9"/>
  <c r="F350" i="9"/>
  <c r="C350" i="9"/>
  <c r="E347" i="9"/>
  <c r="E355" i="9"/>
  <c r="E354" i="9"/>
  <c r="C343" i="9"/>
  <c r="F343" i="9"/>
  <c r="F348" i="9"/>
  <c r="C348" i="9"/>
  <c r="F347" i="9"/>
  <c r="C347" i="9"/>
  <c r="C356" i="9"/>
  <c r="E340" i="9"/>
  <c r="E339" i="9"/>
  <c r="F340" i="9"/>
  <c r="C340" i="9"/>
  <c r="F339" i="9"/>
  <c r="C339" i="9"/>
  <c r="F355" i="9"/>
  <c r="C355" i="9"/>
  <c r="F354" i="9"/>
  <c r="C354" i="9"/>
  <c r="F353" i="9"/>
  <c r="C353" i="9"/>
  <c r="F352" i="9"/>
  <c r="C352" i="9"/>
  <c r="F346" i="9"/>
  <c r="C346" i="9"/>
  <c r="F345" i="9"/>
  <c r="C345" i="9"/>
  <c r="F344" i="9"/>
  <c r="C344" i="9"/>
  <c r="C342" i="9"/>
  <c r="C334" i="9"/>
  <c r="F342" i="9"/>
  <c r="F341" i="9"/>
  <c r="E334" i="9"/>
  <c r="F334" i="9"/>
  <c r="E342" i="9"/>
  <c r="C341" i="9"/>
  <c r="E338" i="9"/>
  <c r="E337" i="9"/>
  <c r="E335" i="9"/>
  <c r="F338" i="9"/>
  <c r="C338" i="9"/>
  <c r="F337" i="9"/>
  <c r="F336" i="9"/>
  <c r="F335" i="9"/>
  <c r="F333" i="9"/>
  <c r="C337" i="9"/>
  <c r="C336" i="9"/>
  <c r="C335" i="9"/>
  <c r="C333" i="9"/>
  <c r="C331" i="9"/>
  <c r="F331" i="9"/>
  <c r="F332" i="9"/>
  <c r="C332" i="9"/>
  <c r="E329" i="9"/>
  <c r="F327" i="9"/>
  <c r="F330" i="9"/>
  <c r="F329" i="9"/>
  <c r="F328" i="9"/>
  <c r="C330" i="9"/>
  <c r="C329" i="9"/>
  <c r="C328" i="9"/>
  <c r="C327" i="9"/>
  <c r="F325" i="9"/>
  <c r="C325" i="9"/>
  <c r="F324" i="9"/>
  <c r="C324" i="9"/>
  <c r="C326" i="9"/>
  <c r="F326" i="9"/>
  <c r="F323" i="9"/>
  <c r="C323" i="9"/>
  <c r="F322" i="9"/>
  <c r="E322" i="9"/>
  <c r="C322" i="9"/>
  <c r="C321" i="9"/>
  <c r="C320" i="9"/>
  <c r="C319" i="9"/>
  <c r="C318" i="9"/>
  <c r="C317" i="9"/>
  <c r="C316" i="9"/>
  <c r="C315" i="9"/>
  <c r="C314" i="9"/>
  <c r="F321" i="9"/>
  <c r="F320" i="9"/>
  <c r="F319" i="9"/>
  <c r="F318" i="9"/>
  <c r="F317" i="9"/>
  <c r="F316" i="9"/>
  <c r="F315" i="9"/>
  <c r="F314" i="9"/>
  <c r="F313" i="9"/>
  <c r="C313" i="9"/>
  <c r="E306" i="9"/>
  <c r="E303" i="9"/>
  <c r="E302" i="9"/>
  <c r="F310" i="9"/>
  <c r="F311" i="9"/>
  <c r="F312" i="9"/>
  <c r="C311" i="9"/>
  <c r="C310" i="9"/>
  <c r="F308" i="9"/>
  <c r="C308" i="9"/>
  <c r="F307" i="9"/>
  <c r="C307" i="9"/>
  <c r="F306" i="9"/>
  <c r="C306" i="9"/>
  <c r="F305" i="9"/>
  <c r="C305" i="9"/>
  <c r="F304" i="9"/>
  <c r="C304" i="9"/>
  <c r="F303" i="9"/>
  <c r="C303" i="9"/>
  <c r="F302" i="9"/>
  <c r="C302" i="9"/>
  <c r="F298" i="9"/>
  <c r="C298" i="9"/>
  <c r="F309" i="9"/>
  <c r="C312" i="9"/>
  <c r="C309" i="9"/>
  <c r="F301" i="9"/>
  <c r="C301" i="9"/>
  <c r="F299" i="9"/>
  <c r="C299" i="9"/>
  <c r="F300" i="9"/>
  <c r="C300" i="9"/>
  <c r="F297" i="9"/>
  <c r="C297" i="9"/>
  <c r="F296" i="9"/>
  <c r="C296" i="9"/>
  <c r="F295" i="9"/>
  <c r="C295" i="9"/>
  <c r="C294" i="9"/>
  <c r="F294" i="9"/>
  <c r="C293" i="9"/>
  <c r="C292" i="9"/>
  <c r="F293" i="9"/>
  <c r="F292" i="9"/>
  <c r="F291" i="9"/>
  <c r="C291" i="9"/>
  <c r="F290" i="9"/>
  <c r="C290" i="9"/>
  <c r="E289" i="9"/>
  <c r="F289" i="9"/>
  <c r="C289" i="9"/>
  <c r="F286" i="9"/>
  <c r="C286" i="9"/>
  <c r="F285" i="9"/>
  <c r="C285" i="9"/>
  <c r="E284" i="9"/>
  <c r="F280" i="9"/>
  <c r="C280" i="9"/>
  <c r="F288" i="9"/>
  <c r="C288" i="9"/>
  <c r="C287" i="9"/>
  <c r="C284" i="9"/>
  <c r="C283" i="9"/>
  <c r="C282" i="9"/>
  <c r="F287" i="9"/>
  <c r="F284" i="9"/>
  <c r="F283" i="9"/>
  <c r="F282" i="9"/>
  <c r="C279" i="9"/>
  <c r="F281" i="9"/>
  <c r="C281" i="9"/>
  <c r="F279" i="9"/>
  <c r="F278" i="9"/>
  <c r="C278" i="9"/>
  <c r="E272" i="9"/>
  <c r="E273" i="9"/>
  <c r="E274" i="9"/>
  <c r="E277" i="9"/>
  <c r="F277" i="9"/>
  <c r="C277" i="9"/>
  <c r="C276" i="9"/>
  <c r="C275" i="9"/>
  <c r="C274" i="9"/>
  <c r="C273" i="9"/>
  <c r="C272" i="9"/>
  <c r="F276" i="9"/>
  <c r="F275" i="9"/>
  <c r="F274" i="9"/>
  <c r="F273" i="9"/>
  <c r="F272" i="9"/>
  <c r="F271" i="9"/>
  <c r="C271" i="9"/>
  <c r="C270" i="9"/>
  <c r="C269" i="9"/>
  <c r="C268" i="9"/>
  <c r="C265" i="9"/>
  <c r="C264" i="9"/>
  <c r="C263" i="9"/>
  <c r="C262" i="9"/>
  <c r="C261" i="9"/>
  <c r="C260" i="9"/>
  <c r="F270" i="9"/>
  <c r="F269" i="9"/>
  <c r="F268" i="9"/>
  <c r="F267" i="9"/>
  <c r="F266" i="9"/>
  <c r="F265" i="9"/>
  <c r="F264" i="9"/>
  <c r="F263" i="9"/>
  <c r="F262" i="9"/>
  <c r="F261" i="9"/>
  <c r="F260" i="9"/>
  <c r="C267" i="9"/>
  <c r="C266" i="9"/>
  <c r="F259" i="9"/>
  <c r="C259" i="9"/>
  <c r="F258" i="9"/>
  <c r="E252" i="9"/>
  <c r="F253" i="9"/>
  <c r="C253" i="9"/>
  <c r="C258" i="9"/>
  <c r="C257" i="9"/>
  <c r="C256" i="9"/>
  <c r="C255" i="9"/>
  <c r="C254" i="9"/>
  <c r="F257" i="9"/>
  <c r="F256" i="9"/>
  <c r="F255" i="9"/>
  <c r="F254" i="9"/>
  <c r="F252" i="9"/>
  <c r="C252" i="9"/>
  <c r="C251" i="9"/>
  <c r="C250" i="9"/>
  <c r="C249" i="9"/>
  <c r="C248" i="9"/>
  <c r="F244" i="9"/>
  <c r="C244" i="9"/>
  <c r="F251" i="9"/>
  <c r="F250" i="9"/>
  <c r="F249" i="9"/>
  <c r="F248" i="9"/>
  <c r="E243" i="9"/>
  <c r="E249" i="9"/>
  <c r="F247" i="9"/>
  <c r="C247" i="9"/>
  <c r="F246" i="9"/>
  <c r="C246" i="9"/>
  <c r="F245" i="9"/>
  <c r="C245" i="9"/>
  <c r="F243" i="9"/>
  <c r="C243" i="9"/>
  <c r="F242" i="9"/>
  <c r="C242" i="9"/>
  <c r="F241" i="9"/>
  <c r="E241" i="9"/>
  <c r="C241" i="9"/>
  <c r="F240" i="9"/>
  <c r="C240" i="9"/>
  <c r="F239" i="9"/>
  <c r="C239" i="9"/>
  <c r="E237" i="9"/>
  <c r="F238" i="9"/>
  <c r="C238" i="9"/>
  <c r="F237" i="9"/>
  <c r="C237" i="9"/>
  <c r="F236" i="9"/>
  <c r="C236" i="9"/>
  <c r="E234" i="9"/>
  <c r="F235" i="9"/>
  <c r="C235" i="9"/>
  <c r="F234" i="9"/>
  <c r="C234" i="9"/>
  <c r="F233" i="9"/>
  <c r="C233" i="9"/>
  <c r="F232" i="9"/>
  <c r="C232" i="9"/>
  <c r="E231" i="9"/>
  <c r="F231" i="9"/>
  <c r="C231" i="9"/>
  <c r="F230" i="9"/>
  <c r="C230" i="9"/>
  <c r="E228" i="9"/>
  <c r="C229" i="9"/>
  <c r="F229" i="9"/>
  <c r="F226" i="9"/>
  <c r="C226" i="9"/>
  <c r="F225" i="9"/>
  <c r="C225" i="9"/>
  <c r="F228" i="9"/>
  <c r="C228" i="9"/>
  <c r="F220" i="9"/>
  <c r="C220" i="9"/>
  <c r="F227" i="9"/>
  <c r="F217" i="9"/>
  <c r="C217" i="9"/>
  <c r="C227" i="9"/>
  <c r="E215" i="9"/>
  <c r="F215" i="9"/>
  <c r="C215" i="9"/>
  <c r="F216" i="9"/>
  <c r="C216" i="9"/>
  <c r="F224" i="9"/>
  <c r="C224" i="9"/>
  <c r="C223" i="9"/>
  <c r="C222" i="9"/>
  <c r="F223" i="9"/>
  <c r="F222" i="9"/>
  <c r="F221" i="9"/>
  <c r="C221" i="9"/>
  <c r="E212" i="9"/>
  <c r="F219" i="9"/>
  <c r="C219" i="9"/>
  <c r="F218" i="9"/>
  <c r="C218" i="9"/>
  <c r="F214" i="9"/>
  <c r="C214" i="9"/>
  <c r="F213" i="9"/>
  <c r="C213" i="9"/>
  <c r="F212" i="9"/>
  <c r="C212" i="9"/>
  <c r="F211" i="9"/>
  <c r="C211" i="9"/>
  <c r="E210" i="9"/>
  <c r="C210" i="9"/>
  <c r="C209" i="9"/>
  <c r="F210" i="9"/>
  <c r="F209" i="9"/>
  <c r="F208" i="9"/>
  <c r="C208" i="9"/>
  <c r="E204" i="9"/>
  <c r="E205" i="9"/>
  <c r="E207" i="9"/>
  <c r="F204" i="9"/>
  <c r="C204" i="9"/>
  <c r="F207" i="9"/>
  <c r="F206" i="9"/>
  <c r="F205" i="9"/>
  <c r="C207" i="9"/>
  <c r="C206" i="9"/>
  <c r="C205" i="9"/>
  <c r="F203" i="9"/>
  <c r="C203" i="9"/>
  <c r="C202" i="9"/>
  <c r="F202" i="9"/>
  <c r="F201" i="9"/>
  <c r="C201" i="9"/>
  <c r="E200" i="9"/>
  <c r="E196" i="9"/>
  <c r="F197" i="9"/>
  <c r="F198" i="9"/>
  <c r="F199" i="9"/>
  <c r="F200" i="9"/>
  <c r="C200" i="9"/>
  <c r="C199" i="9"/>
  <c r="C198" i="9"/>
  <c r="C197" i="9"/>
  <c r="F189" i="9"/>
  <c r="E189" i="9"/>
  <c r="C189" i="9"/>
  <c r="C196" i="9"/>
  <c r="F196" i="9"/>
  <c r="F195" i="9"/>
  <c r="F194" i="9"/>
  <c r="F193" i="9"/>
  <c r="F192" i="9"/>
  <c r="F191" i="9"/>
  <c r="F190" i="9"/>
  <c r="E191" i="9"/>
  <c r="E194" i="9"/>
  <c r="E195" i="9"/>
  <c r="C195" i="9"/>
  <c r="C194" i="9"/>
  <c r="C193" i="9"/>
  <c r="C192" i="9"/>
  <c r="C191" i="9"/>
  <c r="C190" i="9"/>
  <c r="E188" i="9"/>
  <c r="F188" i="9"/>
  <c r="C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2" i="9"/>
  <c r="F4" i="9"/>
  <c r="F5" i="9"/>
  <c r="C187" i="9"/>
  <c r="C186" i="9"/>
  <c r="C185" i="9"/>
  <c r="E185" i="9"/>
  <c r="C184" i="9"/>
  <c r="E179" i="9"/>
  <c r="C183" i="9"/>
  <c r="C182" i="9"/>
  <c r="C181" i="9"/>
  <c r="C180" i="9"/>
  <c r="C179" i="9"/>
  <c r="C178" i="9" l="1"/>
  <c r="C177" i="9"/>
  <c r="C176" i="9"/>
  <c r="E177" i="9"/>
  <c r="C175" i="9"/>
  <c r="C173" i="9"/>
  <c r="E174" i="9"/>
  <c r="C174" i="9"/>
  <c r="E171" i="9"/>
  <c r="E168" i="9"/>
  <c r="E172" i="9"/>
  <c r="E170" i="9"/>
  <c r="E169" i="9"/>
  <c r="E167" i="9"/>
  <c r="C172" i="9"/>
  <c r="C171" i="9"/>
  <c r="C170" i="9"/>
  <c r="C169" i="9"/>
  <c r="C168" i="9"/>
  <c r="C167" i="9"/>
  <c r="C166" i="9"/>
  <c r="C165" i="9"/>
  <c r="C164" i="9"/>
  <c r="C163" i="9"/>
  <c r="E163" i="9"/>
  <c r="E160" i="9"/>
  <c r="C162" i="9"/>
  <c r="C161" i="9"/>
  <c r="C160" i="9"/>
  <c r="C159" i="9"/>
  <c r="C158" i="9"/>
  <c r="C157" i="9"/>
  <c r="C156" i="9"/>
  <c r="E155" i="9"/>
  <c r="C155" i="9"/>
  <c r="C154" i="9"/>
  <c r="C153" i="9"/>
  <c r="C152" i="9"/>
  <c r="C151" i="9"/>
  <c r="E151" i="9"/>
  <c r="C150" i="9"/>
  <c r="C149" i="9"/>
  <c r="E146" i="9"/>
  <c r="C148" i="9"/>
  <c r="C147" i="9"/>
  <c r="C146" i="9"/>
  <c r="C145" i="9"/>
  <c r="E6" i="9"/>
  <c r="E5" i="9"/>
  <c r="C5" i="9"/>
  <c r="C144" i="9"/>
  <c r="E143" i="9"/>
  <c r="C143" i="9"/>
  <c r="C142" i="9"/>
  <c r="C141" i="9"/>
  <c r="C6" i="9"/>
  <c r="E46" i="9"/>
  <c r="E40" i="9"/>
  <c r="C46"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4" i="9"/>
  <c r="E83" i="9"/>
  <c r="E80" i="9"/>
  <c r="E78" i="9"/>
  <c r="E77" i="9"/>
  <c r="E73" i="9"/>
  <c r="E70" i="9"/>
  <c r="E66" i="9"/>
  <c r="E58" i="9"/>
  <c r="E57" i="9"/>
  <c r="E55" i="9"/>
  <c r="E48" i="9"/>
  <c r="E42" i="9"/>
  <c r="E39" i="9"/>
  <c r="E4" i="9"/>
  <c r="C2" i="9"/>
  <c r="C30" i="2"/>
  <c r="D30" i="2" s="1"/>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3" i="9"/>
  <c r="C94" i="9"/>
  <c r="E139" i="9"/>
  <c r="E136" i="9"/>
  <c r="E134" i="9"/>
  <c r="E130" i="9"/>
  <c r="E126" i="9"/>
  <c r="E127" i="9"/>
  <c r="E125" i="9"/>
  <c r="C13" i="2"/>
  <c r="C4" i="11" s="1"/>
  <c r="E121" i="9"/>
  <c r="C11" i="11"/>
  <c r="E118" i="9"/>
  <c r="C25" i="11"/>
  <c r="C23" i="11"/>
  <c r="C24" i="11"/>
  <c r="C9" i="11"/>
  <c r="C8" i="11"/>
  <c r="C5" i="11"/>
  <c r="D9" i="2"/>
  <c r="E101" i="9"/>
  <c r="E100" i="9"/>
  <c r="E96" i="9"/>
  <c r="C5" i="2"/>
  <c r="D5" i="2" s="1"/>
  <c r="C4" i="2"/>
  <c r="D4" i="2" s="1"/>
  <c r="C29" i="2"/>
  <c r="D29" i="2" s="1"/>
  <c r="C28" i="2"/>
  <c r="C20" i="11" s="1"/>
  <c r="C20" i="2"/>
  <c r="C13" i="11" s="1"/>
  <c r="D25" i="2"/>
  <c r="C25" i="2" s="1"/>
  <c r="C17" i="11" s="1"/>
  <c r="D21" i="2"/>
  <c r="C21" i="2" s="1"/>
  <c r="C14" i="11" s="1"/>
  <c r="D26" i="2"/>
  <c r="C26" i="2" s="1"/>
  <c r="C18" i="11" s="1"/>
  <c r="C27" i="2"/>
  <c r="C19" i="11" s="1"/>
  <c r="C23" i="2"/>
  <c r="D22" i="2"/>
  <c r="C22" i="2" s="1"/>
  <c r="C15" i="11" s="1"/>
  <c r="C24" i="2"/>
  <c r="C16" i="11" s="1"/>
  <c r="C19" i="2"/>
  <c r="C12" i="11" s="1"/>
  <c r="C10" i="2"/>
  <c r="D8" i="2"/>
  <c r="D3" i="2"/>
  <c r="D6" i="2"/>
  <c r="D2" i="2"/>
  <c r="C17" i="2" l="1"/>
  <c r="C11" i="2"/>
  <c r="C21" i="11"/>
  <c r="D31" i="2"/>
  <c r="C7" i="11"/>
  <c r="C10" i="11"/>
  <c r="C6" i="11"/>
  <c r="C7" i="2"/>
  <c r="E4" i="2" s="1"/>
  <c r="D11" i="2"/>
  <c r="D10" i="2"/>
  <c r="E11" i="2" l="1"/>
  <c r="E5" i="2"/>
  <c r="E8" i="2"/>
  <c r="E7" i="2"/>
  <c r="E3" i="2"/>
  <c r="E2" i="2"/>
  <c r="E10" i="2"/>
  <c r="C12" i="2"/>
  <c r="E12" i="2" s="1"/>
  <c r="E6" i="2"/>
  <c r="D7" i="2"/>
  <c r="E9" i="2"/>
  <c r="C31" i="2"/>
  <c r="C32" i="2"/>
  <c r="C26" i="11" s="1"/>
  <c r="D17" i="2"/>
  <c r="E17" i="2"/>
  <c r="D12" i="2" l="1"/>
  <c r="C14" i="2"/>
  <c r="C2" i="11" s="1"/>
  <c r="D14" i="2" l="1"/>
  <c r="C15" i="2"/>
  <c r="E14" i="2"/>
  <c r="C16" i="2"/>
  <c r="C18" i="2" s="1"/>
  <c r="F30" i="2" s="1"/>
  <c r="C3" i="11"/>
  <c r="D15" i="2"/>
  <c r="E15" i="2"/>
  <c r="E16" i="2" l="1"/>
  <c r="F28" i="2"/>
  <c r="D16" i="2"/>
  <c r="D18" i="2" l="1"/>
  <c r="D33" i="2" s="1"/>
  <c r="C33" i="2" s="1"/>
  <c r="C27" i="11" s="1"/>
  <c r="F20" i="2"/>
  <c r="F26" i="2"/>
  <c r="F21" i="2"/>
  <c r="F24" i="2"/>
  <c r="F23" i="2"/>
  <c r="F27" i="2"/>
  <c r="F22" i="2"/>
  <c r="F25" i="2"/>
  <c r="F29" i="2"/>
  <c r="F19" i="2"/>
  <c r="F32" i="2"/>
  <c r="F31" i="2"/>
  <c r="E18" i="2"/>
  <c r="F33" i="2" l="1"/>
</calcChain>
</file>

<file path=xl/sharedStrings.xml><?xml version="1.0" encoding="utf-8"?>
<sst xmlns="http://schemas.openxmlformats.org/spreadsheetml/2006/main" count="2350" uniqueCount="596">
  <si>
    <t>Month</t>
  </si>
  <si>
    <t>EPF</t>
  </si>
  <si>
    <t>VPF</t>
  </si>
  <si>
    <t>NPS</t>
  </si>
  <si>
    <t>Gratuity</t>
  </si>
  <si>
    <t>Item</t>
  </si>
  <si>
    <t>Monthly</t>
  </si>
  <si>
    <t>Yearly</t>
  </si>
  <si>
    <t>Basic Salary</t>
  </si>
  <si>
    <t>Flexible Alllowance</t>
  </si>
  <si>
    <t>Total Base Pay</t>
  </si>
  <si>
    <t>Professional Tax</t>
  </si>
  <si>
    <t>Taxable Salary</t>
  </si>
  <si>
    <t>Savings</t>
  </si>
  <si>
    <t>Taxable Income</t>
  </si>
  <si>
    <t>Health and Education Cess</t>
  </si>
  <si>
    <t>Total Tax</t>
  </si>
  <si>
    <t>Total Savings</t>
  </si>
  <si>
    <t>Notes</t>
  </si>
  <si>
    <t>PF/NPS calculated on this</t>
  </si>
  <si>
    <t>HRA/LTA would be carved out of this if old regime</t>
  </si>
  <si>
    <t>Income Tax (new regime)</t>
  </si>
  <si>
    <t>you're welcome nirmala</t>
  </si>
  <si>
    <t>itne se na govt hospital sudhrenge na govt school</t>
  </si>
  <si>
    <t>Compensation</t>
  </si>
  <si>
    <t>Taxes</t>
  </si>
  <si>
    <t>Breakdown</t>
  </si>
  <si>
    <t>% of Base</t>
  </si>
  <si>
    <t>% of In-hand</t>
  </si>
  <si>
    <t>Investments</t>
  </si>
  <si>
    <t>Rent</t>
  </si>
  <si>
    <t>Maintainence</t>
  </si>
  <si>
    <t>Cleaner</t>
  </si>
  <si>
    <t>Cook</t>
  </si>
  <si>
    <t>Groceries</t>
  </si>
  <si>
    <t>Office Food</t>
  </si>
  <si>
    <t>Total</t>
  </si>
  <si>
    <t>Mobile Recharges</t>
  </si>
  <si>
    <t>rounded up</t>
  </si>
  <si>
    <t>My share</t>
  </si>
  <si>
    <t>100 ka auto if I take one every other day (very high estimate but depends)</t>
  </si>
  <si>
    <t>na 6 inch na 6 foot but 6 digit to hain XD</t>
  </si>
  <si>
    <t>Category</t>
  </si>
  <si>
    <t>500 for 20 days: I haven't tracked this properly but recently I've been having all 3 meals there so idk</t>
  </si>
  <si>
    <t>savings: VPF, EPF, NPS; the bare minimum; not investments</t>
  </si>
  <si>
    <t>taxable salary - standard deduction</t>
  </si>
  <si>
    <t>12% of basic</t>
  </si>
  <si>
    <t>10% of basic</t>
  </si>
  <si>
    <t>CTC</t>
  </si>
  <si>
    <t>have to lookup when you get this</t>
  </si>
  <si>
    <t>basic + allowance+gratuity - VPF - NPS</t>
  </si>
  <si>
    <t>ye state ka hai, so not for nirmala</t>
  </si>
  <si>
    <t>hello ms. Sitharaman</t>
  </si>
  <si>
    <t>Electricity</t>
  </si>
  <si>
    <t>Streaming Services</t>
  </si>
  <si>
    <t>haathon ka mail</t>
  </si>
  <si>
    <t>warren all you can eat buffet</t>
  </si>
  <si>
    <t>kafi kharchen hain</t>
  </si>
  <si>
    <t>Expenses</t>
  </si>
  <si>
    <t>Benefits Topup</t>
  </si>
  <si>
    <t>Employer PF</t>
  </si>
  <si>
    <t>Employer Pension Scheme</t>
  </si>
  <si>
    <t>ऐशो आराम</t>
  </si>
  <si>
    <t>Date</t>
  </si>
  <si>
    <t>Amount</t>
  </si>
  <si>
    <t>Swiggy</t>
  </si>
  <si>
    <t>Zepto</t>
  </si>
  <si>
    <t>SmartQ</t>
  </si>
  <si>
    <t>Auto to Office</t>
  </si>
  <si>
    <t>Jio Recharge</t>
  </si>
  <si>
    <t>Spotify Subscription</t>
  </si>
  <si>
    <t>Youtube Premium Subscription</t>
  </si>
  <si>
    <t>Angel One (trying out stocks)</t>
  </si>
  <si>
    <t>Auto to Ankana's House</t>
  </si>
  <si>
    <t>Sujay Birthday Cake</t>
  </si>
  <si>
    <t>Ordered in the wrong building so had to order twice</t>
  </si>
  <si>
    <t>Biriyani :))</t>
  </si>
  <si>
    <t>In-hand Salary</t>
  </si>
  <si>
    <t>Auto To Decathlon</t>
  </si>
  <si>
    <t>Needed new shoes</t>
  </si>
  <si>
    <t>Auto to home</t>
  </si>
  <si>
    <t>Food</t>
  </si>
  <si>
    <t>Mobile Recharge</t>
  </si>
  <si>
    <t>ud gaye</t>
  </si>
  <si>
    <t>Transport</t>
  </si>
  <si>
    <t>Water Can</t>
  </si>
  <si>
    <t>Income Tax</t>
  </si>
  <si>
    <t>ErPF</t>
  </si>
  <si>
    <t>ErPS</t>
  </si>
  <si>
    <t>Sub-category</t>
  </si>
  <si>
    <t>Mid Cap MF</t>
  </si>
  <si>
    <t>Small Cap MF</t>
  </si>
  <si>
    <t>Large Cap Index Fund</t>
  </si>
  <si>
    <t>PPF</t>
  </si>
  <si>
    <t>Others</t>
  </si>
  <si>
    <t>Spending Money</t>
  </si>
  <si>
    <t>To Theobroma</t>
  </si>
  <si>
    <t>Cake #2 XD</t>
  </si>
  <si>
    <t>Decathlon (shoes+socks)</t>
  </si>
  <si>
    <t>Nagarjuna Sagar Trip advance to Prasoon</t>
  </si>
  <si>
    <t>Auto to Home</t>
  </si>
  <si>
    <t>Auto to Raidurga Station</t>
  </si>
  <si>
    <t>Metro</t>
  </si>
  <si>
    <t>Cab to Poojtha's PG</t>
  </si>
  <si>
    <t>Sum of Amount</t>
  </si>
  <si>
    <t>Row Labels</t>
  </si>
  <si>
    <t>Grand Total</t>
  </si>
  <si>
    <t>Rent + Maintainence</t>
  </si>
  <si>
    <t xml:space="preserve"> </t>
  </si>
  <si>
    <t>Dropout Membership</t>
  </si>
  <si>
    <t>Movie</t>
  </si>
  <si>
    <t>Trip Cost (splitwise)</t>
  </si>
  <si>
    <t>Splitwise</t>
  </si>
  <si>
    <t>Bowling Cost</t>
  </si>
  <si>
    <t>Dinner</t>
  </si>
  <si>
    <t>snacks for trip which never got used</t>
  </si>
  <si>
    <t>Bharateeyam in Lulu, Hyderabad (biriyani was nicee)</t>
  </si>
  <si>
    <t>Day</t>
  </si>
  <si>
    <t>Mathu Vadalara 2: 8/10 very very funny</t>
  </si>
  <si>
    <t>Travel</t>
  </si>
  <si>
    <t>Diwali Flights</t>
  </si>
  <si>
    <t>bruh</t>
  </si>
  <si>
    <t>Column Labels</t>
  </si>
  <si>
    <t>Lko platform ticket</t>
  </si>
  <si>
    <t>Chocolates</t>
  </si>
  <si>
    <t>Auto</t>
  </si>
  <si>
    <t>Nik Bakers: Lotus Cheesecake</t>
  </si>
  <si>
    <t>soooooo gooooood</t>
  </si>
  <si>
    <t>OvenFresh</t>
  </si>
  <si>
    <t>Froyo</t>
  </si>
  <si>
    <t>not good at all</t>
  </si>
  <si>
    <t>Kalsang</t>
  </si>
  <si>
    <t>Chennai return tickets</t>
  </si>
  <si>
    <t>Licious</t>
  </si>
  <si>
    <t>Blinkit</t>
  </si>
  <si>
    <t>idk</t>
  </si>
  <si>
    <t>Spotify</t>
  </si>
  <si>
    <t>Youtube Premimum</t>
  </si>
  <si>
    <t>New Earphones</t>
  </si>
  <si>
    <t>Sarath City Arcade</t>
  </si>
  <si>
    <t>Documents Prinout</t>
  </si>
  <si>
    <t>Auto to mall</t>
  </si>
  <si>
    <t>Auto to hotel</t>
  </si>
  <si>
    <t>Dropout Subscription</t>
  </si>
  <si>
    <t>Re-book chennai return tickets</t>
  </si>
  <si>
    <t>To Chennai</t>
  </si>
  <si>
    <t>Admin</t>
  </si>
  <si>
    <t>Rapido to home</t>
  </si>
  <si>
    <t>Cab to aiport</t>
  </si>
  <si>
    <t>Cab to VIT</t>
  </si>
  <si>
    <t>Food @ VIT</t>
  </si>
  <si>
    <t>Dinner @ Zaitoon</t>
  </si>
  <si>
    <t>Cab to hotel</t>
  </si>
  <si>
    <t>Cookbook</t>
  </si>
  <si>
    <t>:/ ROI nahi tha jitna laga bc XD</t>
  </si>
  <si>
    <t>Suitcase storage @ mall</t>
  </si>
  <si>
    <t>Bus to home</t>
  </si>
  <si>
    <t>Amazon</t>
  </si>
  <si>
    <t>Rakshabandhan gifts</t>
  </si>
  <si>
    <t>idk (to poojitha)</t>
  </si>
  <si>
    <t>Steam Giftcard</t>
  </si>
  <si>
    <t>Poojitha Rakshabandhan gift</t>
  </si>
  <si>
    <t xml:space="preserve">Netflix </t>
  </si>
  <si>
    <t>idk (sabhavat satish)</t>
  </si>
  <si>
    <t>idk (mudavath santhosh)</t>
  </si>
  <si>
    <t>Angel One (MF trial)</t>
  </si>
  <si>
    <t>marriot stay ended</t>
  </si>
  <si>
    <t>Airtel sim+wifi bill</t>
  </si>
  <si>
    <t>water @ airport</t>
  </si>
  <si>
    <t>Auto to office</t>
  </si>
  <si>
    <t>Food @ Sarath</t>
  </si>
  <si>
    <t>Auto to Sarath</t>
  </si>
  <si>
    <t>Books @ Bookfair</t>
  </si>
  <si>
    <t>Juice</t>
  </si>
  <si>
    <t>so sweet lol</t>
  </si>
  <si>
    <t>all 3 meals goddamn it</t>
  </si>
  <si>
    <t>Snacks @ Metro Station</t>
  </si>
  <si>
    <t>Auto to metro</t>
  </si>
  <si>
    <t>Metro tickets</t>
  </si>
  <si>
    <t>Escape room</t>
  </si>
  <si>
    <t>Frankie</t>
  </si>
  <si>
    <t>(blank)</t>
  </si>
  <si>
    <t>this and 17th's dinner ka average</t>
  </si>
  <si>
    <t>this and 16th's dinner ka average</t>
  </si>
  <si>
    <t>high estimate, bina AC ke to 800 ka total bill aya lol</t>
  </si>
  <si>
    <t>Clothes</t>
  </si>
  <si>
    <t>Coffee</t>
  </si>
  <si>
    <t>kehne ko irish</t>
  </si>
  <si>
    <t>Gifts</t>
  </si>
  <si>
    <t>Clothes for garv/shlok/neeraj da</t>
  </si>
  <si>
    <t>Wifi UPS</t>
  </si>
  <si>
    <t>Home</t>
  </si>
  <si>
    <t>uncle abhi bhi naraz honge iske liye I think</t>
  </si>
  <si>
    <t>Headphones</t>
  </si>
  <si>
    <t>Bedsheet</t>
  </si>
  <si>
    <t>Sanjeev Gift</t>
  </si>
  <si>
    <t>perfect gift :)</t>
  </si>
  <si>
    <t>Auto to inorbit</t>
  </si>
  <si>
    <t>Punjab Grill</t>
  </si>
  <si>
    <t>Expensive but biriyani was good and easyDiner MVP</t>
  </si>
  <si>
    <t>Piano tiles (SMAASH Inorbit)</t>
  </si>
  <si>
    <t>Bowling + Deal or no deal (SMAASH Inorbit)</t>
  </si>
  <si>
    <t>Wow chicken</t>
  </si>
  <si>
    <t>Going out</t>
  </si>
  <si>
    <t>full scoree: 100 tickets</t>
  </si>
  <si>
    <t>Water</t>
  </si>
  <si>
    <t>shah ghouse biriyani + loose prawns, 8/10 loved it</t>
  </si>
  <si>
    <t>To home</t>
  </si>
  <si>
    <t>Zepto payment didn't reflect on app, should get refund</t>
  </si>
  <si>
    <t>SIP</t>
  </si>
  <si>
    <t>Airtel recharge</t>
  </si>
  <si>
    <t>Lunch</t>
  </si>
  <si>
    <t>Not transport, this is for out-of-city travel</t>
  </si>
  <si>
    <t>Office Transport</t>
  </si>
  <si>
    <t>zepto</t>
  </si>
  <si>
    <t>Going Out</t>
  </si>
  <si>
    <t>Unsure</t>
  </si>
  <si>
    <t>MF</t>
  </si>
  <si>
    <t>Stocks</t>
  </si>
  <si>
    <t>Sub-Category</t>
  </si>
  <si>
    <t>Wants</t>
  </si>
  <si>
    <t>Needs</t>
  </si>
  <si>
    <t>Auto to Sarath City</t>
  </si>
  <si>
    <t>Haunted House</t>
  </si>
  <si>
    <t>Bowling</t>
  </si>
  <si>
    <t>Ice cream</t>
  </si>
  <si>
    <t>To cleaner</t>
  </si>
  <si>
    <t>Auto to Absolute BBQ</t>
  </si>
  <si>
    <t>350 vapas kyun kare lol</t>
  </si>
  <si>
    <t>Mutton fry; was amazing with rice (living in hyderabad has given me a new appreciation for mutton)</t>
  </si>
  <si>
    <t>anniversary gift in advance; kharche kam hote hi nahi</t>
  </si>
  <si>
    <t>Auto to Artistry</t>
  </si>
  <si>
    <t>Dandiya Night</t>
  </si>
  <si>
    <t>Papa's new phone</t>
  </si>
  <si>
    <t>kal ki plate pav bhaji ke daam pe pura filling lunch hogya :/</t>
  </si>
  <si>
    <t>bruh 1 plate pav bhaji &gt;:|</t>
  </si>
  <si>
    <t>Scrub</t>
  </si>
  <si>
    <t>Snacks</t>
  </si>
  <si>
    <t>once we find someone</t>
  </si>
  <si>
    <t>Pista house</t>
  </si>
  <si>
    <t>YT premium 1 yr</t>
  </si>
  <si>
    <t>12 mahine for the cost of 10</t>
  </si>
  <si>
    <t>JioCinema</t>
  </si>
  <si>
    <t>Geoguessr</t>
  </si>
  <si>
    <t>Auto to Naintara</t>
  </si>
  <si>
    <t>Auto to Paradise</t>
  </si>
  <si>
    <t>Shilparamam</t>
  </si>
  <si>
    <t>Bike to Thrivesome</t>
  </si>
  <si>
    <t>Thrivesome</t>
  </si>
  <si>
    <t>Auto to Pista House</t>
  </si>
  <si>
    <t>Pista House</t>
  </si>
  <si>
    <t>Paradise</t>
  </si>
  <si>
    <t>Not worth the hype</t>
  </si>
  <si>
    <t>Auto to Restaurant</t>
  </si>
  <si>
    <t>Pure veg andhra food; rishwith pe pura bharosa karke ja rha hun xd lets hope it doesn't disappoint</t>
  </si>
  <si>
    <t>I didn't! food was great jyada hi khila diya XD</t>
  </si>
  <si>
    <t>Bike Home</t>
  </si>
  <si>
    <t>was decent, although rajnikanth is a bit too old to do movies now lol</t>
  </si>
  <si>
    <t>Cleaner Dusshera</t>
  </si>
  <si>
    <t>for mutton; other older ones from splitwise</t>
  </si>
  <si>
    <t>Netflix</t>
  </si>
  <si>
    <t>Rebel mrktplc</t>
  </si>
  <si>
    <t>Mr Perfect</t>
  </si>
  <si>
    <t>Auto to Bhrammaraamba</t>
  </si>
  <si>
    <t>Office lunch</t>
  </si>
  <si>
    <t>Office Dinner</t>
  </si>
  <si>
    <t>Auto to madhapur</t>
  </si>
  <si>
    <t>Escape Time: Escape room</t>
  </si>
  <si>
    <t>Dinner @ Café Madras Coffee</t>
  </si>
  <si>
    <t>Cab home</t>
  </si>
  <si>
    <t>Backpack for Shlok</t>
  </si>
  <si>
    <t>Backpack for me</t>
  </si>
  <si>
    <t>Saree for mom</t>
  </si>
  <si>
    <t>Some food</t>
  </si>
  <si>
    <t>baledhu</t>
  </si>
  <si>
    <t xml:space="preserve">Bhelpuri + Dinner @ Dosthagaallu Mandi </t>
  </si>
  <si>
    <t>Rapido to LP's pg</t>
  </si>
  <si>
    <t>Airtell Bill</t>
  </si>
  <si>
    <t>Google Drive 100GB</t>
  </si>
  <si>
    <t>Party supplies xd</t>
  </si>
  <si>
    <t>Scrabble</t>
  </si>
  <si>
    <t>to office</t>
  </si>
  <si>
    <t>Mosambi Juice</t>
  </si>
  <si>
    <t>ordered on the wrong floor again :( XD</t>
  </si>
  <si>
    <t>Biriyani</t>
  </si>
  <si>
    <t>Putharekulu</t>
  </si>
  <si>
    <t>To airport</t>
  </si>
  <si>
    <t>Karam Podi + Pulihora + Gongura pickle</t>
  </si>
  <si>
    <t>Ud Gaye</t>
  </si>
  <si>
    <t>GGST S4 :)</t>
  </si>
  <si>
    <t>To Lulu Mall</t>
  </si>
  <si>
    <t>To Home</t>
  </si>
  <si>
    <t>Souled Store Hoodie for Shlok</t>
  </si>
  <si>
    <t>Souled Store Tshirt</t>
  </si>
  <si>
    <t>Zudio Sweater</t>
  </si>
  <si>
    <t>Zudio other shit</t>
  </si>
  <si>
    <t>Crossword hindi books</t>
  </si>
  <si>
    <t>Hamleys 1000 pieces puzzle</t>
  </si>
  <si>
    <t>Market 99 chocolate</t>
  </si>
  <si>
    <t>Levi's Jeans</t>
  </si>
  <si>
    <t>Seva Chikan Kurtas + Pyjama</t>
  </si>
  <si>
    <t>wow momos/wow chinese ka butter garlic fish was amazing</t>
  </si>
  <si>
    <t>Myntra</t>
  </si>
  <si>
    <t>Souled Store</t>
  </si>
  <si>
    <t>BombayShavingCompany</t>
  </si>
  <si>
    <t>Cinnabon @ Lulu</t>
  </si>
  <si>
    <t>Hamleys mechanics sets</t>
  </si>
  <si>
    <t>Food @ wow chicken, Lulu</t>
  </si>
  <si>
    <t>Kings Kulfi</t>
  </si>
  <si>
    <t>Blinkit: chicken vgera</t>
  </si>
  <si>
    <t>so good, I need to buy a couple more</t>
  </si>
  <si>
    <t>Mithai for hyd</t>
  </si>
  <si>
    <t>Bhai duj gift to harshu and didi</t>
  </si>
  <si>
    <t>aur saman</t>
  </si>
  <si>
    <t>Shuttle bus till home</t>
  </si>
  <si>
    <t>Hangers</t>
  </si>
  <si>
    <t>Maggi</t>
  </si>
  <si>
    <t>Mutton curry ingredients</t>
  </si>
  <si>
    <t>Steam auto mech battler game</t>
  </si>
  <si>
    <t xml:space="preserve">office ke liye </t>
  </si>
  <si>
    <t>To movie theatre</t>
  </si>
  <si>
    <t>to home</t>
  </si>
  <si>
    <t>sandwich + popcorn</t>
  </si>
  <si>
    <t>Pani</t>
  </si>
  <si>
    <t>Home stuff</t>
  </si>
  <si>
    <t>hangers</t>
  </si>
  <si>
    <t>Auto to badminton</t>
  </si>
  <si>
    <t>Badminton shuttles+court+etc</t>
  </si>
  <si>
    <t>Pista House+kulfi</t>
  </si>
  <si>
    <t>Groceries at night</t>
  </si>
  <si>
    <t>Auto from badminton</t>
  </si>
  <si>
    <t>actually paid earlier but this was easier to track by putting it there</t>
  </si>
  <si>
    <t>amaran movie</t>
  </si>
  <si>
    <t>Vizag Trip</t>
  </si>
  <si>
    <t>Vizag Trip::Araku resort payment</t>
  </si>
  <si>
    <t>Vizag Trip::Train Tickets</t>
  </si>
  <si>
    <t>Brunch from Saharsh Udipi Grand</t>
  </si>
  <si>
    <t>tried and tested ghee karam idli and sambar idli</t>
  </si>
  <si>
    <t>Flight tickets (hyd to lko, del to hyd)</t>
  </si>
  <si>
    <t>ik I'm wayy over budget but :(((, I liked the shirts xd</t>
  </si>
  <si>
    <t>Shaving/soap vgera</t>
  </si>
  <si>
    <t>offer accha tha :(</t>
  </si>
  <si>
    <t xml:space="preserve">chicken stock cubes + </t>
  </si>
  <si>
    <t>House stuff</t>
  </si>
  <si>
    <t>Jio Cinema</t>
  </si>
  <si>
    <t>Fruits (bought on Friday)</t>
  </si>
  <si>
    <t>Auto to badminton court</t>
  </si>
  <si>
    <t>Auto from badminton court</t>
  </si>
  <si>
    <t>Auto to panchakattu dosa</t>
  </si>
  <si>
    <t>Auto from panchakattu dosa</t>
  </si>
  <si>
    <t>Bumble premium :(</t>
  </si>
  <si>
    <t>haan haan uda lo mazak</t>
  </si>
  <si>
    <t>Minecraft</t>
  </si>
  <si>
    <t>dosa</t>
  </si>
  <si>
    <t>badminton</t>
  </si>
  <si>
    <t>Badminton (racket+shoes)</t>
  </si>
  <si>
    <t>Auto to Badminton</t>
  </si>
  <si>
    <t>Badminton</t>
  </si>
  <si>
    <t>Suit</t>
  </si>
  <si>
    <t>Auto to kphb</t>
  </si>
  <si>
    <t>Haircut</t>
  </si>
  <si>
    <t>KPHB snacks (on 23rd)</t>
  </si>
  <si>
    <t>Airtel Bill</t>
  </si>
  <si>
    <t xml:space="preserve">Auto to office </t>
  </si>
  <si>
    <t>GALA EVENTT (FRZ :))</t>
  </si>
  <si>
    <t>Rapido to 45th avenue</t>
  </si>
  <si>
    <t>Happy birthday tanvi</t>
  </si>
  <si>
    <t>Puri + aloo + mutton keema</t>
  </si>
  <si>
    <t>Cab to Usha Nani's House</t>
  </si>
  <si>
    <t>yaad nhi</t>
  </si>
  <si>
    <t>Souled Store Clothes</t>
  </si>
  <si>
    <t>I like buying clothes now ok leave me alone</t>
  </si>
  <si>
    <t>Zepto Balance</t>
  </si>
  <si>
    <t>Fruits</t>
  </si>
  <si>
    <t>Jyada mahenge kharidva diye mammi ne XD</t>
  </si>
  <si>
    <t>Shoes (from Levi's)</t>
  </si>
  <si>
    <t>Champa Gali food</t>
  </si>
  <si>
    <t>I feel bad counting this as food</t>
  </si>
  <si>
    <t>Chicken Afghani + Afghani Chap</t>
  </si>
  <si>
    <t>Soo good</t>
  </si>
  <si>
    <t>Food @ Mehrauli Architectural Park</t>
  </si>
  <si>
    <t>Mediocre at best</t>
  </si>
  <si>
    <t>Snacks @ Qutb Minar</t>
  </si>
  <si>
    <t>Doma Aunty's Momos @ Lajpat Nagar</t>
  </si>
  <si>
    <t>Got scammed, straight up</t>
  </si>
  <si>
    <t>Charger for mom</t>
  </si>
  <si>
    <t xml:space="preserve">Pani Puri </t>
  </si>
  <si>
    <t>Pretty good</t>
  </si>
  <si>
    <t>Big Chill Cakery</t>
  </si>
  <si>
    <t>amazinggg</t>
  </si>
  <si>
    <t>Raspberry chocoalte cheesecake brownie</t>
  </si>
  <si>
    <t>Chicken</t>
  </si>
  <si>
    <t>KFC</t>
  </si>
  <si>
    <t>Waffle</t>
  </si>
  <si>
    <t>Taco Bell</t>
  </si>
  <si>
    <t>Kulcha</t>
  </si>
  <si>
    <t>Drinks again</t>
  </si>
  <si>
    <t>Veena Farewell Gift</t>
  </si>
  <si>
    <t>Auto to Deer Park</t>
  </si>
  <si>
    <t>Coast Café</t>
  </si>
  <si>
    <t>Auto to NGMA</t>
  </si>
  <si>
    <t>Papad</t>
  </si>
  <si>
    <t>Café Sandos</t>
  </si>
  <si>
    <t>Naturals Café</t>
  </si>
  <si>
    <t>Auto to Ambience</t>
  </si>
  <si>
    <t>Tshirt</t>
  </si>
  <si>
    <t>Water Bottle</t>
  </si>
  <si>
    <t>Auto to CyberCity</t>
  </si>
  <si>
    <t>Cinnabon</t>
  </si>
  <si>
    <t>Auto home</t>
  </si>
  <si>
    <t>Auto to station</t>
  </si>
  <si>
    <t>Bike to home</t>
  </si>
  <si>
    <t>Cab to Airport</t>
  </si>
  <si>
    <t>Shuttle to gachibowli orr</t>
  </si>
  <si>
    <t>Jacket</t>
  </si>
  <si>
    <t>Bike to restaurant</t>
  </si>
  <si>
    <t>Krishnapatnam restaurant food</t>
  </si>
  <si>
    <t>Cream Stone Ice Cream</t>
  </si>
  <si>
    <t>Mutual Funds</t>
  </si>
  <si>
    <t>Movie Snacks</t>
  </si>
  <si>
    <t>Sugarcane</t>
  </si>
  <si>
    <t>Punugulu</t>
  </si>
  <si>
    <t>Apples</t>
  </si>
  <si>
    <t>JioCinema Subscription</t>
  </si>
  <si>
    <t>Bike to Sri Brahmaramba Theatre</t>
  </si>
  <si>
    <t>Samosa</t>
  </si>
  <si>
    <t>Manchurian</t>
  </si>
  <si>
    <t>Pushpa 2 ticket</t>
  </si>
  <si>
    <t>I canceled it, na hi matches a rhe the and abto irl crush hai XD</t>
  </si>
  <si>
    <t>PPF Account</t>
  </si>
  <si>
    <t>Drinks</t>
  </si>
  <si>
    <t>Hauz Khas Ticket</t>
  </si>
  <si>
    <t>NGMA Ticket</t>
  </si>
  <si>
    <t>Khan Chacha Rolls + KFC</t>
  </si>
  <si>
    <t>to Office</t>
  </si>
  <si>
    <t>Angel one trying stocks</t>
  </si>
  <si>
    <t>Instamart</t>
  </si>
  <si>
    <t>To Office</t>
  </si>
  <si>
    <t>Shah Ghouse</t>
  </si>
  <si>
    <t>bad paya day XD</t>
  </si>
  <si>
    <t>water can</t>
  </si>
  <si>
    <t>to LP</t>
  </si>
  <si>
    <t>Beyoung (some clothes)</t>
  </si>
  <si>
    <t>Creamstone</t>
  </si>
  <si>
    <t>levis</t>
  </si>
  <si>
    <t>metro</t>
  </si>
  <si>
    <t>bike to home</t>
  </si>
  <si>
    <t>To badminton</t>
  </si>
  <si>
    <t>Angel one stocks</t>
  </si>
  <si>
    <t>bike to decathlon</t>
  </si>
  <si>
    <t>Decathlon (swimming stuff)</t>
  </si>
  <si>
    <t>auto to gf mandi</t>
  </si>
  <si>
    <t>gf mandi</t>
  </si>
  <si>
    <t>domino's</t>
  </si>
  <si>
    <t>paid on 23</t>
  </si>
  <si>
    <t>auto from gf mandi</t>
  </si>
  <si>
    <t>Trip money (to depreeth)</t>
  </si>
  <si>
    <t>stocks</t>
  </si>
  <si>
    <t>Jio recharge</t>
  </si>
  <si>
    <t>Zepto?</t>
  </si>
  <si>
    <t>To office</t>
  </si>
  <si>
    <t>he bhagwaaaaan, chilli egg and 🤢veg biriyani</t>
  </si>
  <si>
    <t>Biriyanis and More</t>
  </si>
  <si>
    <t>Groceries balance (splitwise)</t>
  </si>
  <si>
    <t>Smartwatch</t>
  </si>
  <si>
    <t>to badminton</t>
  </si>
  <si>
    <t>movie ticket</t>
  </si>
  <si>
    <t>raghuvaran btech</t>
  </si>
  <si>
    <t>To metro</t>
  </si>
  <si>
    <t>metro fruits</t>
  </si>
  <si>
    <t>bawarchi</t>
  </si>
  <si>
    <t>Purpose</t>
  </si>
  <si>
    <t>Chandigarh Trip</t>
  </si>
  <si>
    <t>Convocation</t>
  </si>
  <si>
    <t>Diwali</t>
  </si>
  <si>
    <t>Lko/Delhi Trip</t>
  </si>
  <si>
    <t>Tickets</t>
  </si>
  <si>
    <t>for prev day</t>
  </si>
  <si>
    <t>Pakwan grand lunch</t>
  </si>
  <si>
    <t>Avara Log</t>
  </si>
  <si>
    <t>airtel recharge</t>
  </si>
  <si>
    <t>Panchakattu dosa w bittu dada</t>
  </si>
  <si>
    <t>nice breakfast</t>
  </si>
  <si>
    <t>Coconut water</t>
  </si>
  <si>
    <t>Water can refill</t>
  </si>
  <si>
    <t>badminton early dues</t>
  </si>
  <si>
    <t>Flight tickets (hyd to cok, cok to hyd)</t>
  </si>
  <si>
    <t>MMT Package 1st half</t>
  </si>
  <si>
    <t>subway</t>
  </si>
  <si>
    <t>trip cost 15k lekar, estimate ke liye dala hai :/, proper category-wise addition of items is still pending but thoda tough rhega, as bahut payments the lol</t>
  </si>
  <si>
    <t>Kerala Trip 4/25</t>
  </si>
  <si>
    <t>2024 08 (Aug)</t>
  </si>
  <si>
    <t>2024 09 (Sep)</t>
  </si>
  <si>
    <t>2024 10 (Oct)</t>
  </si>
  <si>
    <t>2024 11 (Nov)</t>
  </si>
  <si>
    <t>2024 12 (Dec)</t>
  </si>
  <si>
    <t>2025 01 (Jan)</t>
  </si>
  <si>
    <t>SmartQ lunch and dinner</t>
  </si>
  <si>
    <t>Interstellar ticket</t>
  </si>
  <si>
    <t>going on 8th feb</t>
  </si>
  <si>
    <t>Biriyani's and More</t>
  </si>
  <si>
    <t>Movies</t>
  </si>
  <si>
    <t>Fruits and vegetables</t>
  </si>
  <si>
    <t>Bike to market (for walk)</t>
  </si>
  <si>
    <t>Zoo Ticket</t>
  </si>
  <si>
    <t>To Shlok</t>
  </si>
  <si>
    <t>Zoo food</t>
  </si>
  <si>
    <t>Biriayni's and More</t>
  </si>
  <si>
    <t>Poojitha's Birthday gift+cake</t>
  </si>
  <si>
    <t>Ed Sheeran Ticket Price</t>
  </si>
  <si>
    <t>Shawarma</t>
  </si>
  <si>
    <t>Coconut Water</t>
  </si>
  <si>
    <t>Grapes</t>
  </si>
  <si>
    <t>Bike to Pista house</t>
  </si>
  <si>
    <t>Subway</t>
  </si>
  <si>
    <t>Angel one parked money</t>
  </si>
  <si>
    <t>2025 02 (Feb)</t>
  </si>
  <si>
    <t>To raidurg</t>
  </si>
  <si>
    <t>Metro to nampally</t>
  </si>
  <si>
    <t>numaish ticket</t>
  </si>
  <si>
    <t>plates</t>
  </si>
  <si>
    <t>fish</t>
  </si>
  <si>
    <t>pav bhaji</t>
  </si>
  <si>
    <t>micchi bajji</t>
  </si>
  <si>
    <t>Pen stands</t>
  </si>
  <si>
    <t>Sweet Corn</t>
  </si>
  <si>
    <t>Metro to raidurg</t>
  </si>
  <si>
    <t>Bike home</t>
  </si>
  <si>
    <t>Numaish with Kushal</t>
  </si>
  <si>
    <t>Jio recharge 1 day</t>
  </si>
  <si>
    <t>Ed Sheeran Concert</t>
  </si>
  <si>
    <t>Ramoji transport</t>
  </si>
  <si>
    <t>Concert drinks and food</t>
  </si>
  <si>
    <t>Burger</t>
  </si>
  <si>
    <t>Harley's</t>
  </si>
  <si>
    <t>Fruits/Vegetables</t>
  </si>
  <si>
    <t>Metro ticket</t>
  </si>
  <si>
    <t>Auto to Numaish</t>
  </si>
  <si>
    <t>sweet corn</t>
  </si>
  <si>
    <t>rides @ numaish</t>
  </si>
  <si>
    <t>Metro back</t>
  </si>
  <si>
    <t>Lunch @ Paradise</t>
  </si>
  <si>
    <t>Frankie/Samosa/Nachos</t>
  </si>
  <si>
    <t>approximate</t>
  </si>
  <si>
    <t>ice cream/water</t>
  </si>
  <si>
    <t>chhaava ticket</t>
  </si>
  <si>
    <t>swiggy</t>
  </si>
  <si>
    <t>juice @ metro</t>
  </si>
  <si>
    <t>1 year party XD</t>
  </si>
  <si>
    <t>Prawn curry ingredients</t>
  </si>
  <si>
    <t>Auto to sarath city</t>
  </si>
  <si>
    <t>auto to home</t>
  </si>
  <si>
    <t>Papa bday cake</t>
  </si>
  <si>
    <t>Avocados</t>
  </si>
  <si>
    <t>coffee</t>
  </si>
  <si>
    <t>captain america ticket (didn't even go :()</t>
  </si>
  <si>
    <t>airtel</t>
  </si>
  <si>
    <t>prime</t>
  </si>
  <si>
    <t>samosa</t>
  </si>
  <si>
    <t>smartQ</t>
  </si>
  <si>
    <t>Rent+Maintenance</t>
  </si>
  <si>
    <t>mouse+stand</t>
  </si>
  <si>
    <t>cook</t>
  </si>
  <si>
    <t>cab to restaurant</t>
  </si>
  <si>
    <t>cab home</t>
  </si>
  <si>
    <t>haleem</t>
  </si>
  <si>
    <t>spotify</t>
  </si>
  <si>
    <t>to mall</t>
  </si>
  <si>
    <t>lunch</t>
  </si>
  <si>
    <t>Laptop</t>
  </si>
  <si>
    <t>steam giftcard</t>
  </si>
  <si>
    <t>to rishwith's apartment</t>
  </si>
  <si>
    <t>dinner w avara log</t>
  </si>
  <si>
    <t>2025 03 (Mar)</t>
  </si>
  <si>
    <t>to restaurant</t>
  </si>
  <si>
    <t>to eye doctor</t>
  </si>
  <si>
    <t>Biriyani's and more</t>
  </si>
  <si>
    <t>didn't split yet?</t>
  </si>
  <si>
    <t>hassan dairy</t>
  </si>
  <si>
    <t>malai bun + chai</t>
  </si>
  <si>
    <t>netflix</t>
  </si>
  <si>
    <t>to pista house</t>
  </si>
  <si>
    <t>pista house food</t>
  </si>
  <si>
    <t>haircut</t>
  </si>
  <si>
    <t>hackathon lunch</t>
  </si>
  <si>
    <t>Food + soft drinks</t>
  </si>
  <si>
    <t>drinks</t>
  </si>
  <si>
    <t>ice cream</t>
  </si>
  <si>
    <t>fruits by LP</t>
  </si>
  <si>
    <t>to lenskart</t>
  </si>
  <si>
    <t>to pg</t>
  </si>
  <si>
    <t>icecream</t>
  </si>
  <si>
    <t>lenskart frames payment</t>
  </si>
  <si>
    <t>H&amp;M</t>
  </si>
  <si>
    <t>Ud gaye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</si>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</sst>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4009]\ * #,##0.00_ ;_ [$₹-4009]\ * \-#,##0.00_ ;_ [$₹-4009]\ * &quot;-&quot;??_ ;_ @_ "/>
    <numFmt numFmtId="165" formatCode="_ [$₹-4009]\ * #,##0_ ;_ [$₹-4009]\ * \-#,##0_ ;_ [$₹-4009]\ * &quot;-&quot;??_ ;_ @_ "/>
    <numFmt numFmtId="166" formatCode="#,##0.00,"/>
    <numFmt numFmtId="167" formatCode="[$₹-4009]\ ###,###.00"/>
  </numFmts>
  <fonts count="5" x14ac:knownFonts="1">
    <font>
      <sz val="11"/>
      <color theme="1"/>
      <name val="Calibri"/>
      <family val="2"/>
      <scheme val="minor"/>
    </font>
    <font>
      <sz val="11"/>
      <color theme="1"/>
      <name val="Calibri"/>
      <family val="2"/>
      <scheme val="minor"/>
    </font>
    <font>
      <sz val="11"/>
      <color theme="0"/>
      <name val="Calibri"/>
      <family val="2"/>
      <scheme val="minor"/>
    </font>
    <font>
      <sz val="11"/>
      <color theme="9" tint="0.59999389629810485"/>
      <name val="Calibri"/>
      <family val="2"/>
      <scheme val="minor"/>
    </font>
    <font>
      <sz val="11"/>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bgColor indexed="64"/>
      </patternFill>
    </fill>
    <fill>
      <patternFill patternType="solid">
        <fgColor theme="0" tint="-0.34998626667073579"/>
        <bgColor indexed="64"/>
      </patternFill>
    </fill>
    <fill>
      <patternFill patternType="solid">
        <fgColor theme="7"/>
        <bgColor indexed="64"/>
      </patternFill>
    </fill>
    <fill>
      <patternFill patternType="solid">
        <fgColor rgb="FF0070C0"/>
        <bgColor indexed="64"/>
      </patternFill>
    </fill>
    <fill>
      <patternFill patternType="solid">
        <fgColor theme="8" tint="0.59999389629810485"/>
        <bgColor indexed="64"/>
      </patternFill>
    </fill>
    <fill>
      <patternFill patternType="solid">
        <fgColor theme="8" tint="-0.24997711111789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1">
    <xf numFmtId="0" fontId="0" fillId="0" borderId="0" xfId="0"/>
    <xf numFmtId="0" fontId="0" fillId="0" borderId="5" xfId="0" applyBorder="1"/>
    <xf numFmtId="164" fontId="0" fillId="0" borderId="0" xfId="0" applyNumberFormat="1"/>
    <xf numFmtId="165" fontId="0" fillId="0" borderId="0" xfId="1" applyNumberFormat="1" applyFont="1" applyAlignment="1">
      <alignment horizontal="center" vertical="center" textRotation="90" wrapText="1"/>
    </xf>
    <xf numFmtId="165" fontId="0" fillId="0" borderId="1" xfId="1" applyNumberFormat="1" applyFont="1" applyBorder="1" applyAlignment="1">
      <alignment horizontal="center" vertical="center" wrapText="1"/>
    </xf>
    <xf numFmtId="165" fontId="0" fillId="0" borderId="8" xfId="1" applyNumberFormat="1" applyFont="1" applyBorder="1" applyAlignment="1">
      <alignment horizontal="center" vertical="center"/>
    </xf>
    <xf numFmtId="10" fontId="0" fillId="0" borderId="6" xfId="2" applyNumberFormat="1" applyFont="1" applyBorder="1" applyAlignment="1">
      <alignment horizontal="center" vertical="center"/>
    </xf>
    <xf numFmtId="10" fontId="0" fillId="0" borderId="3" xfId="2" applyNumberFormat="1" applyFont="1" applyBorder="1" applyAlignment="1">
      <alignment horizontal="center" vertical="center"/>
    </xf>
    <xf numFmtId="165" fontId="0" fillId="0" borderId="0" xfId="1" applyNumberFormat="1" applyFont="1" applyAlignment="1">
      <alignment horizontal="center" vertical="center"/>
    </xf>
    <xf numFmtId="165" fontId="0" fillId="3" borderId="8" xfId="1" applyNumberFormat="1" applyFont="1" applyFill="1" applyBorder="1" applyAlignment="1">
      <alignment horizontal="center" vertical="center"/>
    </xf>
    <xf numFmtId="10" fontId="0" fillId="3" borderId="6" xfId="2" applyNumberFormat="1" applyFont="1" applyFill="1" applyBorder="1" applyAlignment="1">
      <alignment horizontal="center" vertical="center"/>
    </xf>
    <xf numFmtId="10" fontId="0" fillId="2" borderId="3" xfId="2" applyNumberFormat="1" applyFont="1" applyFill="1" applyBorder="1" applyAlignment="1">
      <alignment horizontal="center" vertical="center"/>
    </xf>
    <xf numFmtId="165" fontId="0" fillId="3" borderId="0" xfId="1" applyNumberFormat="1" applyFont="1" applyFill="1" applyAlignment="1">
      <alignment horizontal="center" vertical="center"/>
    </xf>
    <xf numFmtId="165" fontId="0" fillId="5" borderId="9" xfId="1" applyNumberFormat="1" applyFont="1" applyFill="1" applyBorder="1" applyAlignment="1">
      <alignment horizontal="center" vertical="center"/>
    </xf>
    <xf numFmtId="10" fontId="0" fillId="5" borderId="7" xfId="2" applyNumberFormat="1" applyFont="1" applyFill="1" applyBorder="1" applyAlignment="1">
      <alignment horizontal="center" vertical="center"/>
    </xf>
    <xf numFmtId="10" fontId="0" fillId="2" borderId="5" xfId="2" applyNumberFormat="1" applyFont="1" applyFill="1" applyBorder="1" applyAlignment="1">
      <alignment horizontal="center" vertical="center"/>
    </xf>
    <xf numFmtId="165" fontId="0" fillId="5" borderId="0" xfId="1" applyNumberFormat="1" applyFont="1" applyFill="1" applyAlignment="1">
      <alignment horizontal="center" vertical="center"/>
    </xf>
    <xf numFmtId="165" fontId="0" fillId="3" borderId="9" xfId="1" applyNumberFormat="1" applyFont="1" applyFill="1" applyBorder="1" applyAlignment="1">
      <alignment horizontal="center" vertical="center"/>
    </xf>
    <xf numFmtId="10" fontId="0" fillId="3" borderId="7" xfId="2" applyNumberFormat="1" applyFont="1" applyFill="1" applyBorder="1" applyAlignment="1">
      <alignment horizontal="center" vertical="center"/>
    </xf>
    <xf numFmtId="165" fontId="0" fillId="0" borderId="19" xfId="1" applyNumberFormat="1" applyFont="1" applyBorder="1" applyAlignment="1">
      <alignment horizontal="center" vertical="center"/>
    </xf>
    <xf numFmtId="10" fontId="0" fillId="0" borderId="26" xfId="2" applyNumberFormat="1" applyFont="1" applyBorder="1" applyAlignment="1">
      <alignment horizontal="center" vertical="center"/>
    </xf>
    <xf numFmtId="10" fontId="0" fillId="2" borderId="21" xfId="2" applyNumberFormat="1" applyFont="1" applyFill="1" applyBorder="1" applyAlignment="1">
      <alignment horizontal="center" vertical="center"/>
    </xf>
    <xf numFmtId="165" fontId="0" fillId="5" borderId="8" xfId="1" applyNumberFormat="1" applyFont="1" applyFill="1" applyBorder="1" applyAlignment="1">
      <alignment horizontal="center" vertical="center"/>
    </xf>
    <xf numFmtId="10" fontId="0" fillId="5" borderId="6" xfId="2" applyNumberFormat="1" applyFont="1" applyFill="1" applyBorder="1" applyAlignment="1">
      <alignment horizontal="center" vertical="center"/>
    </xf>
    <xf numFmtId="165" fontId="0" fillId="0" borderId="22" xfId="1" applyNumberFormat="1" applyFont="1" applyBorder="1" applyAlignment="1">
      <alignment horizontal="center" vertical="center"/>
    </xf>
    <xf numFmtId="10" fontId="0" fillId="0" borderId="27" xfId="2" applyNumberFormat="1" applyFont="1" applyBorder="1" applyAlignment="1">
      <alignment horizontal="center" vertical="center"/>
    </xf>
    <xf numFmtId="10" fontId="0" fillId="2" borderId="24" xfId="2" applyNumberFormat="1" applyFont="1" applyFill="1" applyBorder="1" applyAlignment="1">
      <alignment horizontal="center" vertical="center"/>
    </xf>
    <xf numFmtId="165" fontId="0" fillId="4" borderId="8" xfId="1" applyNumberFormat="1" applyFont="1" applyFill="1" applyBorder="1" applyAlignment="1">
      <alignment horizontal="center" vertical="center"/>
    </xf>
    <xf numFmtId="10" fontId="0" fillId="4" borderId="6" xfId="2" applyNumberFormat="1" applyFont="1" applyFill="1" applyBorder="1" applyAlignment="1">
      <alignment horizontal="center" vertical="center"/>
    </xf>
    <xf numFmtId="165" fontId="0" fillId="4" borderId="10" xfId="1" applyNumberFormat="1" applyFont="1" applyFill="1" applyBorder="1" applyAlignment="1">
      <alignment horizontal="center" vertical="center"/>
    </xf>
    <xf numFmtId="165" fontId="0" fillId="4" borderId="9" xfId="1" applyNumberFormat="1" applyFont="1" applyFill="1" applyBorder="1" applyAlignment="1">
      <alignment horizontal="center" vertical="center"/>
    </xf>
    <xf numFmtId="10" fontId="0" fillId="4" borderId="7" xfId="2" applyNumberFormat="1" applyFont="1" applyFill="1" applyBorder="1" applyAlignment="1">
      <alignment horizontal="center" vertical="center"/>
    </xf>
    <xf numFmtId="165" fontId="0" fillId="4" borderId="0" xfId="1" applyNumberFormat="1" applyFont="1" applyFill="1" applyBorder="1" applyAlignment="1">
      <alignment horizontal="center" vertical="center"/>
    </xf>
    <xf numFmtId="165" fontId="0" fillId="4" borderId="15" xfId="1" applyNumberFormat="1" applyFont="1" applyFill="1" applyBorder="1" applyAlignment="1">
      <alignment horizontal="center" vertical="center"/>
    </xf>
    <xf numFmtId="10" fontId="0" fillId="4" borderId="11" xfId="2" applyNumberFormat="1" applyFont="1" applyFill="1" applyBorder="1" applyAlignment="1">
      <alignment horizontal="center" vertical="center"/>
    </xf>
    <xf numFmtId="10" fontId="0" fillId="2" borderId="14" xfId="2" applyNumberFormat="1" applyFont="1" applyFill="1" applyBorder="1" applyAlignment="1">
      <alignment horizontal="center" vertical="center"/>
    </xf>
    <xf numFmtId="165" fontId="0" fillId="4" borderId="13" xfId="1" applyNumberFormat="1" applyFont="1" applyFill="1" applyBorder="1" applyAlignment="1">
      <alignment horizontal="center" vertical="center"/>
    </xf>
    <xf numFmtId="165" fontId="0" fillId="4" borderId="0" xfId="1" applyNumberFormat="1" applyFont="1" applyFill="1" applyAlignment="1">
      <alignment horizontal="center" vertical="center"/>
    </xf>
    <xf numFmtId="165" fontId="3" fillId="3" borderId="5" xfId="1" applyNumberFormat="1" applyFont="1" applyFill="1" applyBorder="1" applyAlignment="1">
      <alignment horizontal="center" vertical="center"/>
    </xf>
    <xf numFmtId="165" fontId="0" fillId="6" borderId="8" xfId="1" applyNumberFormat="1" applyFont="1" applyFill="1" applyBorder="1" applyAlignment="1">
      <alignment horizontal="center" vertical="center"/>
    </xf>
    <xf numFmtId="10" fontId="0" fillId="2" borderId="6" xfId="2" applyNumberFormat="1" applyFont="1" applyFill="1" applyBorder="1" applyAlignment="1">
      <alignment horizontal="center" vertical="center"/>
    </xf>
    <xf numFmtId="10" fontId="0" fillId="6" borderId="3" xfId="2" applyNumberFormat="1" applyFont="1" applyFill="1" applyBorder="1" applyAlignment="1">
      <alignment horizontal="center" vertical="center"/>
    </xf>
    <xf numFmtId="165" fontId="0" fillId="6" borderId="0" xfId="1" applyNumberFormat="1" applyFont="1" applyFill="1" applyAlignment="1">
      <alignment horizontal="center" vertical="center"/>
    </xf>
    <xf numFmtId="165" fontId="0" fillId="6" borderId="9" xfId="1" applyNumberFormat="1" applyFont="1" applyFill="1" applyBorder="1" applyAlignment="1">
      <alignment horizontal="center" vertical="center"/>
    </xf>
    <xf numFmtId="10" fontId="0" fillId="2" borderId="7" xfId="2" applyNumberFormat="1" applyFont="1" applyFill="1" applyBorder="1" applyAlignment="1">
      <alignment horizontal="center" vertical="center"/>
    </xf>
    <xf numFmtId="10" fontId="0" fillId="6" borderId="5" xfId="2" applyNumberFormat="1" applyFont="1" applyFill="1" applyBorder="1" applyAlignment="1">
      <alignment horizontal="center" vertical="center"/>
    </xf>
    <xf numFmtId="10" fontId="0" fillId="2" borderId="27" xfId="2" applyNumberFormat="1" applyFont="1" applyFill="1" applyBorder="1" applyAlignment="1">
      <alignment horizontal="center" vertical="center"/>
    </xf>
    <xf numFmtId="10" fontId="0" fillId="2" borderId="28" xfId="2" applyNumberFormat="1" applyFont="1" applyFill="1" applyBorder="1" applyAlignment="1">
      <alignment horizontal="center" vertical="center"/>
    </xf>
    <xf numFmtId="10" fontId="0" fillId="5" borderId="18" xfId="2" applyNumberFormat="1" applyFont="1" applyFill="1" applyBorder="1" applyAlignment="1">
      <alignment horizontal="center" vertical="center"/>
    </xf>
    <xf numFmtId="165" fontId="0" fillId="5" borderId="17" xfId="1" applyNumberFormat="1" applyFont="1" applyFill="1" applyBorder="1" applyAlignment="1">
      <alignment horizontal="center" vertical="center"/>
    </xf>
    <xf numFmtId="10" fontId="2" fillId="2" borderId="28" xfId="2" applyNumberFormat="1" applyFont="1" applyFill="1" applyBorder="1" applyAlignment="1">
      <alignment horizontal="center" vertical="center"/>
    </xf>
    <xf numFmtId="10" fontId="2" fillId="7" borderId="18" xfId="2" applyNumberFormat="1" applyFont="1" applyFill="1" applyBorder="1" applyAlignment="1">
      <alignment horizontal="center" vertical="center"/>
    </xf>
    <xf numFmtId="165" fontId="2" fillId="7" borderId="17" xfId="1" applyNumberFormat="1" applyFont="1" applyFill="1" applyBorder="1" applyAlignment="1">
      <alignment horizontal="center" vertical="center"/>
    </xf>
    <xf numFmtId="165" fontId="0" fillId="0" borderId="9" xfId="1" applyNumberFormat="1" applyFont="1" applyBorder="1" applyAlignment="1">
      <alignment horizontal="center" vertical="center"/>
    </xf>
    <xf numFmtId="10" fontId="0" fillId="0" borderId="7" xfId="2" applyNumberFormat="1" applyFont="1" applyFill="1" applyBorder="1" applyAlignment="1">
      <alignment horizontal="center" vertical="center"/>
    </xf>
    <xf numFmtId="10" fontId="0" fillId="0" borderId="5" xfId="2" applyNumberFormat="1" applyFont="1" applyBorder="1" applyAlignment="1">
      <alignment horizontal="center" vertical="center"/>
    </xf>
    <xf numFmtId="10" fontId="0" fillId="0" borderId="7" xfId="2" applyNumberFormat="1" applyFont="1" applyBorder="1" applyAlignment="1">
      <alignment horizontal="center" vertical="center"/>
    </xf>
    <xf numFmtId="167" fontId="0" fillId="0" borderId="2" xfId="1" applyNumberFormat="1" applyFont="1" applyBorder="1" applyAlignment="1">
      <alignment horizontal="center" vertical="center"/>
    </xf>
    <xf numFmtId="167" fontId="0" fillId="0" borderId="3" xfId="1" applyNumberFormat="1" applyFont="1" applyBorder="1" applyAlignment="1">
      <alignment horizontal="center" vertical="center"/>
    </xf>
    <xf numFmtId="167" fontId="0" fillId="3" borderId="2" xfId="1" applyNumberFormat="1" applyFont="1" applyFill="1" applyBorder="1" applyAlignment="1">
      <alignment horizontal="center" vertical="center"/>
    </xf>
    <xf numFmtId="167" fontId="0" fillId="3" borderId="3" xfId="1" applyNumberFormat="1" applyFont="1" applyFill="1" applyBorder="1" applyAlignment="1">
      <alignment horizontal="center" vertical="center"/>
    </xf>
    <xf numFmtId="167" fontId="0" fillId="5" borderId="4" xfId="1" applyNumberFormat="1" applyFont="1" applyFill="1" applyBorder="1" applyAlignment="1">
      <alignment horizontal="center" vertical="center"/>
    </xf>
    <xf numFmtId="167" fontId="0" fillId="5" borderId="5" xfId="1" applyNumberFormat="1" applyFont="1" applyFill="1" applyBorder="1" applyAlignment="1">
      <alignment horizontal="center" vertical="center"/>
    </xf>
    <xf numFmtId="167" fontId="0" fillId="3" borderId="4" xfId="1" applyNumberFormat="1" applyFont="1" applyFill="1" applyBorder="1" applyAlignment="1">
      <alignment horizontal="center" vertical="center"/>
    </xf>
    <xf numFmtId="167" fontId="0" fillId="3" borderId="5" xfId="1" applyNumberFormat="1" applyFont="1" applyFill="1" applyBorder="1" applyAlignment="1">
      <alignment horizontal="center" vertical="center"/>
    </xf>
    <xf numFmtId="167" fontId="0" fillId="0" borderId="20" xfId="1" applyNumberFormat="1" applyFont="1" applyBorder="1" applyAlignment="1">
      <alignment horizontal="center" vertical="center"/>
    </xf>
    <xf numFmtId="167" fontId="0" fillId="0" borderId="21" xfId="1" applyNumberFormat="1" applyFont="1" applyBorder="1" applyAlignment="1">
      <alignment horizontal="center" vertical="center"/>
    </xf>
    <xf numFmtId="167" fontId="0" fillId="5" borderId="2" xfId="1" applyNumberFormat="1" applyFont="1" applyFill="1" applyBorder="1" applyAlignment="1">
      <alignment horizontal="center" vertical="center"/>
    </xf>
    <xf numFmtId="167" fontId="0" fillId="5" borderId="3" xfId="1" applyNumberFormat="1" applyFont="1" applyFill="1" applyBorder="1" applyAlignment="1">
      <alignment horizontal="center" vertical="center"/>
    </xf>
    <xf numFmtId="167" fontId="0" fillId="0" borderId="23" xfId="1" applyNumberFormat="1" applyFont="1" applyBorder="1" applyAlignment="1">
      <alignment horizontal="center" vertical="center"/>
    </xf>
    <xf numFmtId="167" fontId="0" fillId="0" borderId="24" xfId="1" applyNumberFormat="1" applyFont="1" applyBorder="1" applyAlignment="1">
      <alignment horizontal="center" vertical="center"/>
    </xf>
    <xf numFmtId="167" fontId="0" fillId="4" borderId="2" xfId="1" applyNumberFormat="1" applyFont="1" applyFill="1" applyBorder="1" applyAlignment="1">
      <alignment horizontal="center" vertical="center"/>
    </xf>
    <xf numFmtId="167" fontId="0" fillId="4" borderId="3" xfId="1" applyNumberFormat="1" applyFont="1" applyFill="1" applyBorder="1" applyAlignment="1">
      <alignment horizontal="center" vertical="center"/>
    </xf>
    <xf numFmtId="167" fontId="0" fillId="4" borderId="4" xfId="1" applyNumberFormat="1" applyFont="1" applyFill="1" applyBorder="1" applyAlignment="1">
      <alignment horizontal="center" vertical="center"/>
    </xf>
    <xf numFmtId="167" fontId="0" fillId="4" borderId="5" xfId="1" applyNumberFormat="1" applyFont="1" applyFill="1" applyBorder="1" applyAlignment="1">
      <alignment horizontal="center" vertical="center"/>
    </xf>
    <xf numFmtId="167" fontId="0" fillId="4" borderId="12" xfId="1" applyNumberFormat="1" applyFont="1" applyFill="1" applyBorder="1" applyAlignment="1">
      <alignment horizontal="center" vertical="center"/>
    </xf>
    <xf numFmtId="167" fontId="0" fillId="4" borderId="14" xfId="1" applyNumberFormat="1" applyFont="1" applyFill="1" applyBorder="1" applyAlignment="1">
      <alignment horizontal="center" vertical="center"/>
    </xf>
    <xf numFmtId="167" fontId="0" fillId="6" borderId="2" xfId="1" applyNumberFormat="1" applyFont="1" applyFill="1" applyBorder="1" applyAlignment="1">
      <alignment horizontal="center" vertical="center"/>
    </xf>
    <xf numFmtId="167" fontId="0" fillId="6" borderId="3" xfId="1" applyNumberFormat="1" applyFont="1" applyFill="1" applyBorder="1" applyAlignment="1">
      <alignment horizontal="center" vertical="center"/>
    </xf>
    <xf numFmtId="167" fontId="0" fillId="6" borderId="4" xfId="1" applyNumberFormat="1" applyFont="1" applyFill="1" applyBorder="1" applyAlignment="1">
      <alignment horizontal="center" vertical="center"/>
    </xf>
    <xf numFmtId="167" fontId="0" fillId="6" borderId="5" xfId="1" applyNumberFormat="1" applyFont="1" applyFill="1" applyBorder="1" applyAlignment="1">
      <alignment horizontal="center" vertical="center"/>
    </xf>
    <xf numFmtId="167" fontId="0" fillId="5" borderId="16" xfId="1" applyNumberFormat="1" applyFont="1" applyFill="1" applyBorder="1" applyAlignment="1">
      <alignment horizontal="center" vertical="center"/>
    </xf>
    <xf numFmtId="167" fontId="0" fillId="5" borderId="18" xfId="1" applyNumberFormat="1" applyFont="1" applyFill="1" applyBorder="1" applyAlignment="1">
      <alignment horizontal="center" vertical="center"/>
    </xf>
    <xf numFmtId="167" fontId="2" fillId="7" borderId="16" xfId="1" applyNumberFormat="1" applyFont="1" applyFill="1" applyBorder="1" applyAlignment="1">
      <alignment horizontal="center" vertical="center"/>
    </xf>
    <xf numFmtId="167" fontId="2" fillId="7" borderId="18" xfId="1" applyNumberFormat="1" applyFont="1" applyFill="1" applyBorder="1" applyAlignment="1">
      <alignment horizontal="center" vertical="center"/>
    </xf>
    <xf numFmtId="167" fontId="0" fillId="0" borderId="4" xfId="1" applyNumberFormat="1" applyFont="1" applyBorder="1" applyAlignment="1">
      <alignment horizontal="center" vertical="center"/>
    </xf>
    <xf numFmtId="167" fontId="0" fillId="0" borderId="5" xfId="1" applyNumberFormat="1" applyFont="1" applyBorder="1" applyAlignment="1">
      <alignment horizontal="center" vertical="center"/>
    </xf>
    <xf numFmtId="165" fontId="0" fillId="0" borderId="1" xfId="1" applyNumberFormat="1" applyFont="1" applyBorder="1" applyAlignment="1">
      <alignment horizontal="left" vertical="center"/>
    </xf>
    <xf numFmtId="165" fontId="0" fillId="3" borderId="8" xfId="1" applyNumberFormat="1" applyFont="1" applyFill="1" applyBorder="1" applyAlignment="1">
      <alignment horizontal="left" vertical="center"/>
    </xf>
    <xf numFmtId="165" fontId="0" fillId="5" borderId="9" xfId="1" applyNumberFormat="1" applyFont="1" applyFill="1" applyBorder="1" applyAlignment="1">
      <alignment horizontal="left" vertical="center"/>
    </xf>
    <xf numFmtId="165" fontId="0" fillId="3" borderId="9" xfId="1" applyNumberFormat="1" applyFont="1" applyFill="1" applyBorder="1" applyAlignment="1">
      <alignment horizontal="left" vertical="center"/>
    </xf>
    <xf numFmtId="165" fontId="0" fillId="0" borderId="19" xfId="1" applyNumberFormat="1" applyFont="1" applyBorder="1" applyAlignment="1">
      <alignment horizontal="left" vertical="center"/>
    </xf>
    <xf numFmtId="165" fontId="0" fillId="5" borderId="3" xfId="1" applyNumberFormat="1" applyFont="1" applyFill="1" applyBorder="1" applyAlignment="1">
      <alignment horizontal="left" vertical="center"/>
    </xf>
    <xf numFmtId="165" fontId="0" fillId="5" borderId="5" xfId="1" applyNumberFormat="1" applyFont="1" applyFill="1" applyBorder="1" applyAlignment="1">
      <alignment horizontal="left" vertical="center"/>
    </xf>
    <xf numFmtId="165" fontId="0" fillId="0" borderId="24" xfId="1" applyNumberFormat="1" applyFont="1" applyBorder="1" applyAlignment="1">
      <alignment horizontal="left" vertical="center"/>
    </xf>
    <xf numFmtId="165" fontId="0" fillId="4" borderId="3" xfId="1" applyNumberFormat="1" applyFont="1" applyFill="1" applyBorder="1" applyAlignment="1">
      <alignment horizontal="left" vertical="center"/>
    </xf>
    <xf numFmtId="166" fontId="0" fillId="4" borderId="5" xfId="1" applyNumberFormat="1" applyFont="1" applyFill="1" applyBorder="1" applyAlignment="1">
      <alignment horizontal="left" vertical="center"/>
    </xf>
    <xf numFmtId="165" fontId="0" fillId="4" borderId="5" xfId="1" applyNumberFormat="1" applyFont="1" applyFill="1" applyBorder="1" applyAlignment="1">
      <alignment horizontal="left" vertical="center"/>
    </xf>
    <xf numFmtId="165" fontId="0" fillId="4" borderId="14" xfId="1" applyNumberFormat="1" applyFont="1" applyFill="1" applyBorder="1" applyAlignment="1">
      <alignment horizontal="left" vertical="center"/>
    </xf>
    <xf numFmtId="165" fontId="0" fillId="6" borderId="5" xfId="1" applyNumberFormat="1" applyFont="1" applyFill="1" applyBorder="1" applyAlignment="1">
      <alignment horizontal="left" vertical="center"/>
    </xf>
    <xf numFmtId="165" fontId="0" fillId="5" borderId="18" xfId="1" applyNumberFormat="1" applyFont="1" applyFill="1" applyBorder="1" applyAlignment="1">
      <alignment horizontal="left" vertical="center"/>
    </xf>
    <xf numFmtId="165" fontId="2" fillId="7" borderId="18" xfId="1" applyNumberFormat="1" applyFont="1" applyFill="1" applyBorder="1" applyAlignment="1">
      <alignment horizontal="left" vertical="center"/>
    </xf>
    <xf numFmtId="165" fontId="0" fillId="0" borderId="5" xfId="1" applyNumberFormat="1" applyFont="1" applyBorder="1" applyAlignment="1">
      <alignment horizontal="left" vertical="center"/>
    </xf>
    <xf numFmtId="0" fontId="0" fillId="0" borderId="0" xfId="0" applyAlignment="1">
      <alignment horizontal="center" vertical="center"/>
    </xf>
    <xf numFmtId="0" fontId="0" fillId="0" borderId="16" xfId="0" applyBorder="1"/>
    <xf numFmtId="0" fontId="0" fillId="0" borderId="17" xfId="0" applyBorder="1"/>
    <xf numFmtId="0" fontId="0" fillId="0" borderId="18" xfId="0" applyBorder="1"/>
    <xf numFmtId="0" fontId="0" fillId="0" borderId="4" xfId="0" applyBorder="1"/>
    <xf numFmtId="165" fontId="0" fillId="0" borderId="22" xfId="1" applyNumberFormat="1" applyFont="1" applyFill="1" applyBorder="1" applyAlignment="1">
      <alignment horizontal="center" vertical="center"/>
    </xf>
    <xf numFmtId="167" fontId="0" fillId="0" borderId="23" xfId="1" applyNumberFormat="1" applyFont="1" applyFill="1" applyBorder="1" applyAlignment="1">
      <alignment horizontal="center" vertical="center"/>
    </xf>
    <xf numFmtId="167" fontId="0" fillId="0" borderId="24" xfId="1" applyNumberFormat="1" applyFont="1" applyFill="1" applyBorder="1" applyAlignment="1">
      <alignment horizontal="center" vertical="center"/>
    </xf>
    <xf numFmtId="10" fontId="0" fillId="0" borderId="24" xfId="2" applyNumberFormat="1" applyFont="1" applyFill="1" applyBorder="1" applyAlignment="1">
      <alignment horizontal="center" vertical="center"/>
    </xf>
    <xf numFmtId="165" fontId="0" fillId="0" borderId="24" xfId="1" applyNumberFormat="1" applyFont="1" applyFill="1" applyBorder="1" applyAlignment="1">
      <alignment horizontal="left" vertical="center"/>
    </xf>
    <xf numFmtId="165" fontId="0" fillId="0" borderId="25" xfId="1" applyNumberFormat="1" applyFont="1" applyFill="1" applyBorder="1" applyAlignment="1">
      <alignment horizontal="center" vertical="center"/>
    </xf>
    <xf numFmtId="0" fontId="0" fillId="8" borderId="2" xfId="0" applyFill="1" applyBorder="1"/>
    <xf numFmtId="0" fontId="0" fillId="8" borderId="10" xfId="0" applyFill="1" applyBorder="1"/>
    <xf numFmtId="0" fontId="0" fillId="8" borderId="3" xfId="0" applyFill="1" applyBorder="1"/>
    <xf numFmtId="0" fontId="0" fillId="8" borderId="4" xfId="0" applyFill="1" applyBorder="1"/>
    <xf numFmtId="0" fontId="0" fillId="8" borderId="0" xfId="0" applyFill="1"/>
    <xf numFmtId="0" fontId="0" fillId="8" borderId="5" xfId="0" applyFill="1" applyBorder="1"/>
    <xf numFmtId="0" fontId="0" fillId="8" borderId="12" xfId="0" applyFill="1" applyBorder="1"/>
    <xf numFmtId="0" fontId="0" fillId="8" borderId="13" xfId="0" applyFill="1" applyBorder="1"/>
    <xf numFmtId="0" fontId="0" fillId="8" borderId="14" xfId="0" applyFill="1" applyBorder="1"/>
    <xf numFmtId="0" fontId="0" fillId="9" borderId="2" xfId="0" applyFill="1" applyBorder="1"/>
    <xf numFmtId="0" fontId="0" fillId="9" borderId="10" xfId="0" applyFill="1" applyBorder="1"/>
    <xf numFmtId="0" fontId="0" fillId="9" borderId="3" xfId="0" applyFill="1" applyBorder="1"/>
    <xf numFmtId="0" fontId="0" fillId="9" borderId="4" xfId="0" applyFill="1" applyBorder="1"/>
    <xf numFmtId="0" fontId="0" fillId="9" borderId="0" xfId="0" applyFill="1"/>
    <xf numFmtId="0" fontId="0" fillId="9" borderId="5" xfId="0" applyFill="1" applyBorder="1"/>
    <xf numFmtId="0" fontId="0" fillId="9" borderId="12" xfId="0" applyFill="1" applyBorder="1"/>
    <xf numFmtId="0" fontId="0" fillId="9" borderId="13" xfId="0" applyFill="1" applyBorder="1"/>
    <xf numFmtId="0" fontId="0" fillId="9" borderId="14" xfId="0" applyFill="1" applyBorder="1"/>
    <xf numFmtId="0" fontId="0" fillId="10" borderId="2" xfId="0" applyFill="1" applyBorder="1"/>
    <xf numFmtId="0" fontId="0" fillId="10" borderId="10" xfId="0" applyFill="1" applyBorder="1"/>
    <xf numFmtId="0" fontId="0" fillId="10" borderId="3" xfId="0" applyFill="1" applyBorder="1"/>
    <xf numFmtId="0" fontId="0" fillId="10" borderId="4" xfId="0" applyFill="1" applyBorder="1"/>
    <xf numFmtId="0" fontId="0" fillId="10" borderId="0" xfId="0" applyFill="1"/>
    <xf numFmtId="0" fontId="0" fillId="10" borderId="5" xfId="0" applyFill="1" applyBorder="1"/>
    <xf numFmtId="0" fontId="0" fillId="10" borderId="12" xfId="0" applyFill="1" applyBorder="1"/>
    <xf numFmtId="0" fontId="0" fillId="10" borderId="13" xfId="0" applyFill="1" applyBorder="1"/>
    <xf numFmtId="0" fontId="0" fillId="10" borderId="14" xfId="0" applyFill="1" applyBorder="1"/>
    <xf numFmtId="0" fontId="0" fillId="11" borderId="2" xfId="0" applyFill="1" applyBorder="1"/>
    <xf numFmtId="0" fontId="0" fillId="11" borderId="10" xfId="0" applyFill="1" applyBorder="1"/>
    <xf numFmtId="0" fontId="0" fillId="11" borderId="3" xfId="0" applyFill="1" applyBorder="1"/>
    <xf numFmtId="0" fontId="0" fillId="11" borderId="4" xfId="0" applyFill="1" applyBorder="1"/>
    <xf numFmtId="0" fontId="0" fillId="11" borderId="0" xfId="0" applyFill="1"/>
    <xf numFmtId="0" fontId="0" fillId="11" borderId="5" xfId="0" applyFill="1" applyBorder="1"/>
    <xf numFmtId="0" fontId="0" fillId="11" borderId="12" xfId="0" applyFill="1" applyBorder="1"/>
    <xf numFmtId="0" fontId="0" fillId="11" borderId="13" xfId="0" applyFill="1" applyBorder="1"/>
    <xf numFmtId="0" fontId="0" fillId="11" borderId="14" xfId="0" applyFill="1" applyBorder="1"/>
    <xf numFmtId="0" fontId="2" fillId="12" borderId="17" xfId="0" applyFont="1" applyFill="1" applyBorder="1"/>
    <xf numFmtId="0" fontId="2" fillId="12" borderId="18" xfId="0" applyFont="1" applyFill="1" applyBorder="1"/>
    <xf numFmtId="0" fontId="0" fillId="13" borderId="0" xfId="0" applyFill="1"/>
    <xf numFmtId="164" fontId="0" fillId="13" borderId="0" xfId="0" applyNumberFormat="1" applyFill="1"/>
    <xf numFmtId="0" fontId="0" fillId="13" borderId="5" xfId="0" applyFill="1" applyBorder="1"/>
    <xf numFmtId="0" fontId="2" fillId="14" borderId="0" xfId="0" applyFont="1" applyFill="1"/>
    <xf numFmtId="0" fontId="0" fillId="0" borderId="0" xfId="0" pivotButton="1"/>
    <xf numFmtId="0" fontId="0" fillId="0" borderId="0" xfId="0" applyAlignment="1">
      <alignment horizontal="left"/>
    </xf>
    <xf numFmtId="0" fontId="2" fillId="14" borderId="2" xfId="0" applyFont="1" applyFill="1" applyBorder="1"/>
    <xf numFmtId="0" fontId="2" fillId="14" borderId="3" xfId="0" applyFont="1" applyFill="1" applyBorder="1" applyAlignment="1">
      <alignment horizontal="center" vertical="center"/>
    </xf>
    <xf numFmtId="15" fontId="0" fillId="13" borderId="5" xfId="0" applyNumberFormat="1" applyFill="1" applyBorder="1" applyAlignment="1">
      <alignment horizontal="center" vertical="center"/>
    </xf>
    <xf numFmtId="15" fontId="0" fillId="0" borderId="5" xfId="0" applyNumberFormat="1" applyBorder="1" applyAlignment="1">
      <alignment horizontal="center" vertical="center"/>
    </xf>
    <xf numFmtId="0" fontId="0" fillId="0" borderId="5" xfId="0" applyBorder="1" applyAlignment="1">
      <alignment horizontal="center" vertical="center"/>
    </xf>
    <xf numFmtId="0" fontId="0" fillId="13" borderId="5" xfId="0" applyFill="1" applyBorder="1" applyAlignment="1">
      <alignment horizontal="center" vertical="center"/>
    </xf>
    <xf numFmtId="15" fontId="0" fillId="13" borderId="0" xfId="0" applyNumberFormat="1" applyFill="1" applyAlignment="1">
      <alignment horizontal="center" vertical="center"/>
    </xf>
    <xf numFmtId="15" fontId="0" fillId="0" borderId="0" xfId="0" applyNumberFormat="1" applyAlignment="1">
      <alignment horizontal="center" vertical="center"/>
    </xf>
    <xf numFmtId="0" fontId="2" fillId="14" borderId="10" xfId="0" applyFont="1" applyFill="1" applyBorder="1" applyAlignment="1">
      <alignment horizontal="center" vertical="center"/>
    </xf>
    <xf numFmtId="0" fontId="0" fillId="13" borderId="4" xfId="0" applyFill="1" applyBorder="1"/>
    <xf numFmtId="0" fontId="4" fillId="0" borderId="4" xfId="0" applyFont="1" applyBorder="1"/>
    <xf numFmtId="15" fontId="4" fillId="0" borderId="0" xfId="0" applyNumberFormat="1" applyFont="1" applyAlignment="1">
      <alignment horizontal="center" vertical="center"/>
    </xf>
    <xf numFmtId="0" fontId="4" fillId="0" borderId="5" xfId="0" applyFont="1" applyBorder="1" applyAlignment="1">
      <alignment horizontal="center" vertical="center"/>
    </xf>
    <xf numFmtId="0" fontId="4" fillId="0" borderId="0" xfId="0" applyFont="1"/>
    <xf numFmtId="164" fontId="4" fillId="0" borderId="0" xfId="0" applyNumberFormat="1" applyFont="1"/>
    <xf numFmtId="0" fontId="4" fillId="0" borderId="5" xfId="0" applyFont="1" applyBorder="1"/>
    <xf numFmtId="0" fontId="4" fillId="13" borderId="4" xfId="0" applyFont="1" applyFill="1" applyBorder="1"/>
    <xf numFmtId="15" fontId="4" fillId="13" borderId="0" xfId="0" applyNumberFormat="1" applyFont="1" applyFill="1" applyAlignment="1">
      <alignment horizontal="center" vertical="center"/>
    </xf>
    <xf numFmtId="0" fontId="4" fillId="13" borderId="5" xfId="0" applyFont="1" applyFill="1" applyBorder="1" applyAlignment="1">
      <alignment horizontal="center" vertical="center"/>
    </xf>
    <xf numFmtId="0" fontId="4" fillId="13" borderId="0" xfId="0" applyFont="1" applyFill="1"/>
    <xf numFmtId="164" fontId="4" fillId="13" borderId="0" xfId="0" applyNumberFormat="1" applyFont="1" applyFill="1"/>
    <xf numFmtId="0" fontId="4" fillId="13" borderId="5" xfId="0" applyFont="1" applyFill="1" applyBorder="1"/>
    <xf numFmtId="0" fontId="2" fillId="14" borderId="10" xfId="0" applyFont="1" applyFill="1" applyBorder="1"/>
    <xf numFmtId="164" fontId="2" fillId="14" borderId="10" xfId="0" applyNumberFormat="1" applyFont="1" applyFill="1" applyBorder="1"/>
    <xf numFmtId="0" fontId="2" fillId="14" borderId="3" xfId="0" applyFont="1" applyFill="1" applyBorder="1"/>
    <xf numFmtId="0" fontId="4" fillId="13" borderId="2" xfId="0" applyFont="1" applyFill="1" applyBorder="1"/>
    <xf numFmtId="15" fontId="4" fillId="13" borderId="10" xfId="0" applyNumberFormat="1" applyFont="1" applyFill="1" applyBorder="1" applyAlignment="1">
      <alignment horizontal="center" vertical="center"/>
    </xf>
    <xf numFmtId="0" fontId="4" fillId="13" borderId="3" xfId="0" applyFont="1" applyFill="1" applyBorder="1" applyAlignment="1">
      <alignment horizontal="center" vertical="center"/>
    </xf>
    <xf numFmtId="0" fontId="4" fillId="13" borderId="10" xfId="0" applyFont="1" applyFill="1" applyBorder="1"/>
    <xf numFmtId="164" fontId="4" fillId="13" borderId="10" xfId="0" applyNumberFormat="1" applyFont="1" applyFill="1" applyBorder="1"/>
    <xf numFmtId="0" fontId="4" fillId="13" borderId="3" xfId="0" applyFont="1" applyFill="1" applyBorder="1"/>
    <xf numFmtId="0" fontId="4" fillId="0" borderId="12" xfId="0" applyFont="1" applyBorder="1"/>
    <xf numFmtId="15" fontId="4" fillId="0" borderId="13" xfId="0" applyNumberFormat="1"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xf numFmtId="164" fontId="4" fillId="0" borderId="13" xfId="0" applyNumberFormat="1" applyFont="1" applyBorder="1"/>
    <xf numFmtId="0" fontId="4" fillId="0" borderId="14" xfId="0" applyFont="1" applyBorder="1"/>
    <xf numFmtId="164" fontId="4" fillId="0" borderId="5" xfId="0" applyNumberFormat="1" applyFont="1" applyBorder="1"/>
    <xf numFmtId="0" fontId="0" fillId="0" borderId="12" xfId="0" applyBorder="1"/>
    <xf numFmtId="15"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3" xfId="0" applyBorder="1"/>
    <xf numFmtId="164" fontId="0" fillId="0" borderId="13" xfId="0" applyNumberFormat="1" applyBorder="1"/>
    <xf numFmtId="0" fontId="0" fillId="0" borderId="14" xfId="0" applyBorder="1"/>
    <xf numFmtId="0" fontId="0" fillId="0" borderId="0" xfId="0" applyAlignment="1">
      <alignment horizontal="left" indent="1"/>
    </xf>
    <xf numFmtId="0" fontId="0" fillId="0" borderId="2" xfId="0" applyBorder="1"/>
    <xf numFmtId="0" fontId="0" fillId="0" borderId="3" xfId="0" applyBorder="1"/>
    <xf numFmtId="165" fontId="0" fillId="5" borderId="16" xfId="1" applyNumberFormat="1" applyFont="1" applyFill="1" applyBorder="1" applyAlignment="1">
      <alignment horizontal="center" vertical="center" wrapText="1"/>
    </xf>
    <xf numFmtId="165" fontId="0" fillId="5" borderId="18" xfId="1" applyNumberFormat="1" applyFont="1" applyFill="1" applyBorder="1" applyAlignment="1">
      <alignment horizontal="center" vertical="center" wrapText="1"/>
    </xf>
    <xf numFmtId="165" fontId="2" fillId="7" borderId="16" xfId="1" applyNumberFormat="1" applyFont="1" applyFill="1" applyBorder="1" applyAlignment="1">
      <alignment horizontal="center" vertical="center" wrapText="1"/>
    </xf>
    <xf numFmtId="165" fontId="2" fillId="7" borderId="18" xfId="1" applyNumberFormat="1" applyFont="1" applyFill="1" applyBorder="1" applyAlignment="1">
      <alignment horizontal="center" vertical="center" wrapText="1"/>
    </xf>
    <xf numFmtId="165" fontId="0" fillId="0" borderId="3" xfId="1" applyNumberFormat="1" applyFont="1" applyBorder="1" applyAlignment="1">
      <alignment horizontal="center" vertical="center" textRotation="90" wrapText="1"/>
    </xf>
    <xf numFmtId="165" fontId="0" fillId="0" borderId="5" xfId="1" applyNumberFormat="1" applyFont="1" applyBorder="1" applyAlignment="1">
      <alignment horizontal="center" vertical="center" textRotation="90" wrapText="1"/>
    </xf>
    <xf numFmtId="165" fontId="0" fillId="0" borderId="14" xfId="1" applyNumberFormat="1" applyFont="1" applyBorder="1" applyAlignment="1">
      <alignment horizontal="center" vertical="center" textRotation="90" wrapText="1"/>
    </xf>
    <xf numFmtId="165" fontId="0" fillId="0" borderId="8" xfId="1" applyNumberFormat="1" applyFont="1" applyBorder="1" applyAlignment="1">
      <alignment horizontal="center" vertical="center" textRotation="90" wrapText="1"/>
    </xf>
    <xf numFmtId="165" fontId="0" fillId="0" borderId="9" xfId="1" applyNumberFormat="1" applyFont="1" applyBorder="1" applyAlignment="1">
      <alignment horizontal="center" vertical="center" textRotation="90" wrapText="1"/>
    </xf>
    <xf numFmtId="165" fontId="0" fillId="0" borderId="15" xfId="1" applyNumberFormat="1" applyFont="1" applyBorder="1" applyAlignment="1">
      <alignment horizontal="center" vertical="center" textRotation="90" wrapText="1"/>
    </xf>
    <xf numFmtId="165" fontId="0" fillId="4" borderId="8" xfId="1" applyNumberFormat="1" applyFont="1" applyFill="1" applyBorder="1" applyAlignment="1">
      <alignment horizontal="center" vertical="center" textRotation="90" wrapText="1"/>
    </xf>
    <xf numFmtId="165" fontId="0" fillId="4" borderId="9" xfId="1" applyNumberFormat="1" applyFont="1" applyFill="1" applyBorder="1" applyAlignment="1">
      <alignment horizontal="center" vertical="center" textRotation="90" wrapText="1"/>
    </xf>
    <xf numFmtId="165" fontId="0" fillId="4" borderId="15" xfId="1" applyNumberFormat="1" applyFont="1" applyFill="1" applyBorder="1" applyAlignment="1">
      <alignment horizontal="center" vertical="center" textRotation="90" wrapText="1"/>
    </xf>
    <xf numFmtId="165" fontId="0" fillId="6" borderId="8" xfId="1" applyNumberFormat="1" applyFont="1" applyFill="1" applyBorder="1" applyAlignment="1">
      <alignment horizontal="center" vertical="center" textRotation="90" wrapText="1"/>
    </xf>
    <xf numFmtId="165" fontId="0" fillId="6" borderId="9" xfId="1" applyNumberFormat="1" applyFont="1" applyFill="1" applyBorder="1" applyAlignment="1">
      <alignment horizontal="center" vertical="center" textRotation="90" wrapText="1"/>
    </xf>
    <xf numFmtId="165" fontId="0" fillId="6" borderId="15" xfId="1" applyNumberFormat="1" applyFont="1" applyFill="1" applyBorder="1" applyAlignment="1">
      <alignment horizontal="center" vertical="center" textRotation="90"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11/relationships/timelineCache" Target="timelineCaches/timeline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11/relationships/timelineCache" Target="timelineCaches/timelineCache3.xml"/><Relationship Id="rId10" Type="http://schemas.openxmlformats.org/officeDocument/2006/relationships/worksheet" Target="worksheets/sheet10.xml"/><Relationship Id="rId19" Type="http://schemas.microsoft.com/office/2007/relationships/slicerCache" Target="slicerCaches/slicerCache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11/relationships/timelineCache" Target="timelineCaches/timelineCache2.xml"/><Relationship Id="rId30" Type="http://schemas.microsoft.com/office/2011/relationships/timelineCache" Target="timelineCaches/timelineCache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Expenses (stacked)!PivotTable1</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8794081181439E-2"/>
          <c:y val="6.940724315379676E-2"/>
          <c:w val="0.86038312848020748"/>
          <c:h val="0.82212034475365747"/>
        </c:manualLayout>
      </c:layout>
      <c:barChart>
        <c:barDir val="col"/>
        <c:grouping val="stacked"/>
        <c:varyColors val="0"/>
        <c:ser>
          <c:idx val="0"/>
          <c:order val="0"/>
          <c:tx>
            <c:strRef>
              <c:f>'Monthly Expenses (stacked)'!$B$3:$B$4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(stacked)'!$B$5:$B$13</c:f>
              <c:numCache>
                <c:formatCode>General</c:formatCode>
                <c:ptCount val="8"/>
                <c:pt idx="0">
                  <c:v>161.30000000000001</c:v>
                </c:pt>
                <c:pt idx="2">
                  <c:v>699</c:v>
                </c:pt>
                <c:pt idx="3">
                  <c:v>150</c:v>
                </c:pt>
                <c:pt idx="5">
                  <c:v>150</c:v>
                </c:pt>
                <c:pt idx="7">
                  <c:v>220</c:v>
                </c:pt>
              </c:numCache>
            </c:numRef>
          </c:val>
          <c:extLst>
            <c:ext xmlns:c16="http://schemas.microsoft.com/office/drawing/2014/chart" uri="{C3380CC4-5D6E-409C-BE32-E72D297353CC}">
              <c16:uniqueId val="{00000000-8710-464E-A2F6-80604809F707}"/>
            </c:ext>
          </c:extLst>
        </c:ser>
        <c:ser>
          <c:idx val="1"/>
          <c:order val="1"/>
          <c:tx>
            <c:strRef>
              <c:f>'Monthly Expenses (stacked)'!$C$3:$C$4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(stacked)'!$C$5:$C$13</c:f>
              <c:numCache>
                <c:formatCode>General</c:formatCode>
                <c:ptCount val="8"/>
                <c:pt idx="0">
                  <c:v>3418.0549999999998</c:v>
                </c:pt>
                <c:pt idx="1">
                  <c:v>2596</c:v>
                </c:pt>
                <c:pt idx="2">
                  <c:v>12025</c:v>
                </c:pt>
                <c:pt idx="3">
                  <c:v>15388</c:v>
                </c:pt>
                <c:pt idx="4">
                  <c:v>16671</c:v>
                </c:pt>
                <c:pt idx="7">
                  <c:v>2145</c:v>
                </c:pt>
              </c:numCache>
            </c:numRef>
          </c:val>
          <c:extLst>
            <c:ext xmlns:c16="http://schemas.microsoft.com/office/drawing/2014/chart" uri="{C3380CC4-5D6E-409C-BE32-E72D297353CC}">
              <c16:uniqueId val="{00000001-85A8-4DEB-A31E-C1083C07520B}"/>
            </c:ext>
          </c:extLst>
        </c:ser>
        <c:ser>
          <c:idx val="2"/>
          <c:order val="2"/>
          <c:tx>
            <c:strRef>
              <c:f>'Monthly Expenses (stacked)'!$D$3:$D$4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(stacked)'!$D$5:$D$13</c:f>
              <c:numCache>
                <c:formatCode>General</c:formatCode>
                <c:ptCount val="8"/>
                <c:pt idx="0">
                  <c:v>9722</c:v>
                </c:pt>
                <c:pt idx="1">
                  <c:v>4786</c:v>
                </c:pt>
                <c:pt idx="2">
                  <c:v>15816.079999999998</c:v>
                </c:pt>
                <c:pt idx="3">
                  <c:v>9702.2966666666671</c:v>
                </c:pt>
                <c:pt idx="4">
                  <c:v>16233</c:v>
                </c:pt>
                <c:pt idx="5">
                  <c:v>13315.333333333334</c:v>
                </c:pt>
                <c:pt idx="6">
                  <c:v>14836.333333333334</c:v>
                </c:pt>
                <c:pt idx="7">
                  <c:v>10737.903333333334</c:v>
                </c:pt>
              </c:numCache>
            </c:numRef>
          </c:val>
          <c:extLst>
            <c:ext xmlns:c16="http://schemas.microsoft.com/office/drawing/2014/chart" uri="{C3380CC4-5D6E-409C-BE32-E72D297353CC}">
              <c16:uniqueId val="{00000002-85A8-4DEB-A31E-C1083C07520B}"/>
            </c:ext>
          </c:extLst>
        </c:ser>
        <c:ser>
          <c:idx val="3"/>
          <c:order val="3"/>
          <c:tx>
            <c:strRef>
              <c:f>'Monthly Expenses (stacked)'!$E$3:$E$4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(stacked)'!$E$5:$E$13</c:f>
              <c:numCache>
                <c:formatCode>General</c:formatCode>
                <c:ptCount val="8"/>
                <c:pt idx="0">
                  <c:v>7925.0550000000003</c:v>
                </c:pt>
                <c:pt idx="1">
                  <c:v>6725</c:v>
                </c:pt>
                <c:pt idx="2">
                  <c:v>36305.19</c:v>
                </c:pt>
                <c:pt idx="3">
                  <c:v>7890</c:v>
                </c:pt>
                <c:pt idx="4">
                  <c:v>500</c:v>
                </c:pt>
                <c:pt idx="5">
                  <c:v>5375</c:v>
                </c:pt>
                <c:pt idx="6">
                  <c:v>2275</c:v>
                </c:pt>
              </c:numCache>
            </c:numRef>
          </c:val>
          <c:extLst>
            <c:ext xmlns:c16="http://schemas.microsoft.com/office/drawing/2014/chart" uri="{C3380CC4-5D6E-409C-BE32-E72D297353CC}">
              <c16:uniqueId val="{00000003-85A8-4DEB-A31E-C1083C07520B}"/>
            </c:ext>
          </c:extLst>
        </c:ser>
        <c:ser>
          <c:idx val="4"/>
          <c:order val="4"/>
          <c:tx>
            <c:strRef>
              <c:f>'Monthly Expenses (stacked)'!$F$3:$F$4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(stacked)'!$F$5:$F$13</c:f>
              <c:numCache>
                <c:formatCode>General</c:formatCode>
                <c:ptCount val="8"/>
                <c:pt idx="0">
                  <c:v>2178</c:v>
                </c:pt>
                <c:pt idx="1">
                  <c:v>3489.5</c:v>
                </c:pt>
                <c:pt idx="2">
                  <c:v>2184.11</c:v>
                </c:pt>
                <c:pt idx="3">
                  <c:v>5134.43</c:v>
                </c:pt>
                <c:pt idx="4">
                  <c:v>10159</c:v>
                </c:pt>
                <c:pt idx="5">
                  <c:v>5373.34</c:v>
                </c:pt>
                <c:pt idx="6">
                  <c:v>766</c:v>
                </c:pt>
              </c:numCache>
            </c:numRef>
          </c:val>
          <c:extLst>
            <c:ext xmlns:c16="http://schemas.microsoft.com/office/drawing/2014/chart" uri="{C3380CC4-5D6E-409C-BE32-E72D297353CC}">
              <c16:uniqueId val="{00000004-85A8-4DEB-A31E-C1083C07520B}"/>
            </c:ext>
          </c:extLst>
        </c:ser>
        <c:ser>
          <c:idx val="5"/>
          <c:order val="5"/>
          <c:tx>
            <c:strRef>
              <c:f>'Monthly Expenses (stacked)'!$G$3:$G$4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(stacked)'!$G$5:$G$13</c:f>
              <c:numCache>
                <c:formatCode>General</c:formatCode>
                <c:ptCount val="8"/>
                <c:pt idx="0">
                  <c:v>3622.6</c:v>
                </c:pt>
                <c:pt idx="1">
                  <c:v>2457.6266666666666</c:v>
                </c:pt>
                <c:pt idx="2">
                  <c:v>3596.07</c:v>
                </c:pt>
                <c:pt idx="3">
                  <c:v>3468</c:v>
                </c:pt>
                <c:pt idx="4">
                  <c:v>4784</c:v>
                </c:pt>
                <c:pt idx="5">
                  <c:v>2732.666666666667</c:v>
                </c:pt>
                <c:pt idx="6">
                  <c:v>1580</c:v>
                </c:pt>
                <c:pt idx="7">
                  <c:v>140</c:v>
                </c:pt>
              </c:numCache>
            </c:numRef>
          </c:val>
          <c:extLst>
            <c:ext xmlns:c16="http://schemas.microsoft.com/office/drawing/2014/chart" uri="{C3380CC4-5D6E-409C-BE32-E72D297353CC}">
              <c16:uniqueId val="{00000005-85A8-4DEB-A31E-C1083C07520B}"/>
            </c:ext>
          </c:extLst>
        </c:ser>
        <c:ser>
          <c:idx val="6"/>
          <c:order val="6"/>
          <c:tx>
            <c:strRef>
              <c:f>'Monthly Expenses (stacked)'!$H$3:$H$4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(stacked)'!$H$5:$H$13</c:f>
              <c:numCache>
                <c:formatCode>General</c:formatCode>
                <c:ptCount val="8"/>
                <c:pt idx="1">
                  <c:v>1067.3333333333333</c:v>
                </c:pt>
                <c:pt idx="2">
                  <c:v>92</c:v>
                </c:pt>
                <c:pt idx="3">
                  <c:v>3845</c:v>
                </c:pt>
                <c:pt idx="6">
                  <c:v>320</c:v>
                </c:pt>
              </c:numCache>
            </c:numRef>
          </c:val>
          <c:extLst>
            <c:ext xmlns:c16="http://schemas.microsoft.com/office/drawing/2014/chart" uri="{C3380CC4-5D6E-409C-BE32-E72D297353CC}">
              <c16:uniqueId val="{00000006-85A8-4DEB-A31E-C1083C07520B}"/>
            </c:ext>
          </c:extLst>
        </c:ser>
        <c:ser>
          <c:idx val="7"/>
          <c:order val="7"/>
          <c:tx>
            <c:strRef>
              <c:f>'Monthly Expenses (stacked)'!$I$3:$I$4</c:f>
              <c:strCache>
                <c:ptCount val="1"/>
                <c:pt idx="0">
                  <c:v>MF</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(stacked)'!$I$5:$I$13</c:f>
              <c:numCache>
                <c:formatCode>General</c:formatCode>
                <c:ptCount val="8"/>
                <c:pt idx="0">
                  <c:v>1000</c:v>
                </c:pt>
                <c:pt idx="2">
                  <c:v>15000</c:v>
                </c:pt>
                <c:pt idx="3">
                  <c:v>15000</c:v>
                </c:pt>
                <c:pt idx="4">
                  <c:v>35000</c:v>
                </c:pt>
                <c:pt idx="5">
                  <c:v>35000</c:v>
                </c:pt>
                <c:pt idx="6">
                  <c:v>17000</c:v>
                </c:pt>
                <c:pt idx="7">
                  <c:v>20000</c:v>
                </c:pt>
              </c:numCache>
            </c:numRef>
          </c:val>
          <c:extLst>
            <c:ext xmlns:c16="http://schemas.microsoft.com/office/drawing/2014/chart" uri="{C3380CC4-5D6E-409C-BE32-E72D297353CC}">
              <c16:uniqueId val="{00000007-85A8-4DEB-A31E-C1083C07520B}"/>
            </c:ext>
          </c:extLst>
        </c:ser>
        <c:ser>
          <c:idx val="8"/>
          <c:order val="8"/>
          <c:tx>
            <c:strRef>
              <c:f>'Monthly Expenses (stacked)'!$J$3:$J$4</c:f>
              <c:strCache>
                <c:ptCount val="1"/>
                <c:pt idx="0">
                  <c:v>Mobile Recharge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(stacked)'!$J$5:$J$13</c:f>
              <c:numCache>
                <c:formatCode>General</c:formatCode>
                <c:ptCount val="8"/>
                <c:pt idx="0">
                  <c:v>1810.1599999999999</c:v>
                </c:pt>
                <c:pt idx="1">
                  <c:v>200.9</c:v>
                </c:pt>
                <c:pt idx="2">
                  <c:v>704.92000000000007</c:v>
                </c:pt>
                <c:pt idx="3">
                  <c:v>530</c:v>
                </c:pt>
                <c:pt idx="4">
                  <c:v>49</c:v>
                </c:pt>
                <c:pt idx="5">
                  <c:v>534</c:v>
                </c:pt>
                <c:pt idx="6">
                  <c:v>677</c:v>
                </c:pt>
              </c:numCache>
            </c:numRef>
          </c:val>
          <c:extLst>
            <c:ext xmlns:c16="http://schemas.microsoft.com/office/drawing/2014/chart" uri="{C3380CC4-5D6E-409C-BE32-E72D297353CC}">
              <c16:uniqueId val="{00000008-85A8-4DEB-A31E-C1083C07520B}"/>
            </c:ext>
          </c:extLst>
        </c:ser>
        <c:ser>
          <c:idx val="9"/>
          <c:order val="9"/>
          <c:tx>
            <c:strRef>
              <c:f>'Monthly Expenses (stacked)'!$K$3:$K$4</c:f>
              <c:strCache>
                <c:ptCount val="1"/>
                <c:pt idx="0">
                  <c:v>Office Food</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(stacked)'!$K$5:$K$13</c:f>
              <c:numCache>
                <c:formatCode>General</c:formatCode>
                <c:ptCount val="8"/>
                <c:pt idx="0">
                  <c:v>2307</c:v>
                </c:pt>
                <c:pt idx="1">
                  <c:v>4082.3</c:v>
                </c:pt>
                <c:pt idx="2">
                  <c:v>2082</c:v>
                </c:pt>
                <c:pt idx="3">
                  <c:v>2139</c:v>
                </c:pt>
                <c:pt idx="4">
                  <c:v>1228</c:v>
                </c:pt>
                <c:pt idx="5">
                  <c:v>2424</c:v>
                </c:pt>
                <c:pt idx="6">
                  <c:v>1085</c:v>
                </c:pt>
                <c:pt idx="7">
                  <c:v>1382</c:v>
                </c:pt>
              </c:numCache>
            </c:numRef>
          </c:val>
          <c:extLst>
            <c:ext xmlns:c16="http://schemas.microsoft.com/office/drawing/2014/chart" uri="{C3380CC4-5D6E-409C-BE32-E72D297353CC}">
              <c16:uniqueId val="{00000009-85A8-4DEB-A31E-C1083C07520B}"/>
            </c:ext>
          </c:extLst>
        </c:ser>
        <c:ser>
          <c:idx val="10"/>
          <c:order val="10"/>
          <c:tx>
            <c:strRef>
              <c:f>'Monthly Expenses (stacked)'!$L$3:$L$4</c:f>
              <c:strCache>
                <c:ptCount val="1"/>
                <c:pt idx="0">
                  <c:v>Office Transport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(stacked)'!$L$5:$L$13</c:f>
              <c:numCache>
                <c:formatCode>General</c:formatCode>
                <c:ptCount val="8"/>
                <c:pt idx="0">
                  <c:v>290</c:v>
                </c:pt>
                <c:pt idx="1">
                  <c:v>1825</c:v>
                </c:pt>
                <c:pt idx="2">
                  <c:v>1107</c:v>
                </c:pt>
                <c:pt idx="3">
                  <c:v>1598.6666666666667</c:v>
                </c:pt>
                <c:pt idx="4">
                  <c:v>572</c:v>
                </c:pt>
                <c:pt idx="5">
                  <c:v>885</c:v>
                </c:pt>
                <c:pt idx="6">
                  <c:v>776</c:v>
                </c:pt>
                <c:pt idx="7">
                  <c:v>1031</c:v>
                </c:pt>
              </c:numCache>
            </c:numRef>
          </c:val>
          <c:extLst>
            <c:ext xmlns:c16="http://schemas.microsoft.com/office/drawing/2014/chart" uri="{C3380CC4-5D6E-409C-BE32-E72D297353CC}">
              <c16:uniqueId val="{0000000A-85A8-4DEB-A31E-C1083C07520B}"/>
            </c:ext>
          </c:extLst>
        </c:ser>
        <c:ser>
          <c:idx val="11"/>
          <c:order val="11"/>
          <c:tx>
            <c:strRef>
              <c:f>'Monthly Expenses (stacked)'!$M$3:$M$4</c:f>
              <c:strCache>
                <c:ptCount val="1"/>
                <c:pt idx="0">
                  <c:v>Rent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(stacked)'!$M$5:$M$13</c:f>
              <c:numCache>
                <c:formatCode>General</c:formatCode>
                <c:ptCount val="8"/>
                <c:pt idx="0">
                  <c:v>20734</c:v>
                </c:pt>
                <c:pt idx="1">
                  <c:v>20201.169999999998</c:v>
                </c:pt>
                <c:pt idx="2">
                  <c:v>20666.666666666668</c:v>
                </c:pt>
                <c:pt idx="3">
                  <c:v>20666.666666666668</c:v>
                </c:pt>
                <c:pt idx="4">
                  <c:v>20666.666666666668</c:v>
                </c:pt>
                <c:pt idx="5">
                  <c:v>20666.666666666668</c:v>
                </c:pt>
                <c:pt idx="6">
                  <c:v>20667</c:v>
                </c:pt>
                <c:pt idx="7">
                  <c:v>20666.666666666668</c:v>
                </c:pt>
              </c:numCache>
            </c:numRef>
          </c:val>
          <c:extLst>
            <c:ext xmlns:c16="http://schemas.microsoft.com/office/drawing/2014/chart" uri="{C3380CC4-5D6E-409C-BE32-E72D297353CC}">
              <c16:uniqueId val="{0000000B-85A8-4DEB-A31E-C1083C07520B}"/>
            </c:ext>
          </c:extLst>
        </c:ser>
        <c:ser>
          <c:idx val="12"/>
          <c:order val="12"/>
          <c:tx>
            <c:strRef>
              <c:f>'Monthly Expenses (stacked)'!$N$3:$N$4</c:f>
              <c:strCache>
                <c:ptCount val="1"/>
                <c:pt idx="0">
                  <c:v>Stocks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(stacked)'!$N$5:$N$13</c:f>
              <c:numCache>
                <c:formatCode>General</c:formatCode>
                <c:ptCount val="8"/>
                <c:pt idx="1">
                  <c:v>5000</c:v>
                </c:pt>
                <c:pt idx="4">
                  <c:v>35000</c:v>
                </c:pt>
                <c:pt idx="6">
                  <c:v>20000</c:v>
                </c:pt>
              </c:numCache>
            </c:numRef>
          </c:val>
          <c:extLst>
            <c:ext xmlns:c16="http://schemas.microsoft.com/office/drawing/2014/chart" uri="{C3380CC4-5D6E-409C-BE32-E72D297353CC}">
              <c16:uniqueId val="{0000000C-85A8-4DEB-A31E-C1083C07520B}"/>
            </c:ext>
          </c:extLst>
        </c:ser>
        <c:ser>
          <c:idx val="13"/>
          <c:order val="13"/>
          <c:tx>
            <c:strRef>
              <c:f>'Monthly Expenses (stacked)'!$O$3:$O$4</c:f>
              <c:strCache>
                <c:ptCount val="1"/>
                <c:pt idx="0">
                  <c:v>Streaming Services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(stacked)'!$O$5:$O$13</c:f>
              <c:numCache>
                <c:formatCode>General</c:formatCode>
                <c:ptCount val="8"/>
                <c:pt idx="0">
                  <c:v>606</c:v>
                </c:pt>
                <c:pt idx="1">
                  <c:v>606</c:v>
                </c:pt>
                <c:pt idx="2">
                  <c:v>1837</c:v>
                </c:pt>
                <c:pt idx="3">
                  <c:v>347</c:v>
                </c:pt>
                <c:pt idx="4">
                  <c:v>347</c:v>
                </c:pt>
                <c:pt idx="5">
                  <c:v>148</c:v>
                </c:pt>
                <c:pt idx="6">
                  <c:v>1747</c:v>
                </c:pt>
                <c:pt idx="7">
                  <c:v>477</c:v>
                </c:pt>
              </c:numCache>
            </c:numRef>
          </c:val>
          <c:extLst>
            <c:ext xmlns:c16="http://schemas.microsoft.com/office/drawing/2014/chart" uri="{C3380CC4-5D6E-409C-BE32-E72D297353CC}">
              <c16:uniqueId val="{0000000D-85A8-4DEB-A31E-C1083C07520B}"/>
            </c:ext>
          </c:extLst>
        </c:ser>
        <c:ser>
          <c:idx val="14"/>
          <c:order val="14"/>
          <c:tx>
            <c:strRef>
              <c:f>'Monthly Expenses (stacked)'!$P$3:$P$4</c:f>
              <c:strCache>
                <c:ptCount val="1"/>
                <c:pt idx="0">
                  <c:v>Transport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(stacked)'!$P$5:$P$13</c:f>
              <c:numCache>
                <c:formatCode>General</c:formatCode>
                <c:ptCount val="8"/>
                <c:pt idx="0">
                  <c:v>2459.416666666667</c:v>
                </c:pt>
                <c:pt idx="1">
                  <c:v>665.5</c:v>
                </c:pt>
                <c:pt idx="2">
                  <c:v>2085.833333333333</c:v>
                </c:pt>
                <c:pt idx="3">
                  <c:v>1730.1666666666667</c:v>
                </c:pt>
                <c:pt idx="4">
                  <c:v>3291</c:v>
                </c:pt>
                <c:pt idx="5">
                  <c:v>340</c:v>
                </c:pt>
                <c:pt idx="6">
                  <c:v>1561</c:v>
                </c:pt>
                <c:pt idx="7">
                  <c:v>944.33333333333337</c:v>
                </c:pt>
              </c:numCache>
            </c:numRef>
          </c:val>
          <c:extLst>
            <c:ext xmlns:c16="http://schemas.microsoft.com/office/drawing/2014/chart" uri="{C3380CC4-5D6E-409C-BE32-E72D297353CC}">
              <c16:uniqueId val="{0000000E-85A8-4DEB-A31E-C1083C07520B}"/>
            </c:ext>
          </c:extLst>
        </c:ser>
        <c:ser>
          <c:idx val="15"/>
          <c:order val="15"/>
          <c:tx>
            <c:strRef>
              <c:f>'Monthly Expenses (stacked)'!$Q$3:$Q$4</c:f>
              <c:strCache>
                <c:ptCount val="1"/>
                <c:pt idx="0">
                  <c:v>Travel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(stacked)'!$Q$5:$Q$13</c:f>
              <c:numCache>
                <c:formatCode>General</c:formatCode>
                <c:ptCount val="8"/>
                <c:pt idx="0">
                  <c:v>12640</c:v>
                </c:pt>
                <c:pt idx="1">
                  <c:v>17161</c:v>
                </c:pt>
                <c:pt idx="3">
                  <c:v>16376</c:v>
                </c:pt>
                <c:pt idx="5">
                  <c:v>18028.166666666664</c:v>
                </c:pt>
              </c:numCache>
            </c:numRef>
          </c:val>
          <c:extLst>
            <c:ext xmlns:c16="http://schemas.microsoft.com/office/drawing/2014/chart" uri="{C3380CC4-5D6E-409C-BE32-E72D297353CC}">
              <c16:uniqueId val="{0000000F-85A8-4DEB-A31E-C1083C07520B}"/>
            </c:ext>
          </c:extLst>
        </c:ser>
        <c:ser>
          <c:idx val="16"/>
          <c:order val="16"/>
          <c:tx>
            <c:strRef>
              <c:f>'Monthly Expenses (stacked)'!$R$3:$R$4</c:f>
              <c:strCache>
                <c:ptCount val="1"/>
                <c:pt idx="0">
                  <c:v>ud gaye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(stacked)'!$R$5:$R$13</c:f>
              <c:numCache>
                <c:formatCode>General</c:formatCode>
                <c:ptCount val="8"/>
                <c:pt idx="0">
                  <c:v>6434</c:v>
                </c:pt>
                <c:pt idx="1">
                  <c:v>2586</c:v>
                </c:pt>
                <c:pt idx="2">
                  <c:v>10913</c:v>
                </c:pt>
                <c:pt idx="3">
                  <c:v>6373</c:v>
                </c:pt>
                <c:pt idx="4">
                  <c:v>3265</c:v>
                </c:pt>
                <c:pt idx="5">
                  <c:v>2984</c:v>
                </c:pt>
                <c:pt idx="6">
                  <c:v>760</c:v>
                </c:pt>
                <c:pt idx="7">
                  <c:v>108044</c:v>
                </c:pt>
              </c:numCache>
            </c:numRef>
          </c:val>
          <c:extLst>
            <c:ext xmlns:c16="http://schemas.microsoft.com/office/drawing/2014/chart" uri="{C3380CC4-5D6E-409C-BE32-E72D297353CC}">
              <c16:uniqueId val="{00000010-85A8-4DEB-A31E-C1083C07520B}"/>
            </c:ext>
          </c:extLst>
        </c:ser>
        <c:ser>
          <c:idx val="17"/>
          <c:order val="17"/>
          <c:tx>
            <c:strRef>
              <c:f>'Monthly Expenses (stacked)'!$S$3:$S$4</c:f>
              <c:strCache>
                <c:ptCount val="1"/>
                <c:pt idx="0">
                  <c:v>Unsure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(stacked)'!$S$5:$S$13</c:f>
              <c:numCache>
                <c:formatCode>General</c:formatCode>
                <c:ptCount val="8"/>
                <c:pt idx="0">
                  <c:v>670</c:v>
                </c:pt>
              </c:numCache>
            </c:numRef>
          </c:val>
          <c:extLst>
            <c:ext xmlns:c16="http://schemas.microsoft.com/office/drawing/2014/chart" uri="{C3380CC4-5D6E-409C-BE32-E72D297353CC}">
              <c16:uniqueId val="{00000004-DF52-476A-9829-3DA02754AC3F}"/>
            </c:ext>
          </c:extLst>
        </c:ser>
        <c:ser>
          <c:idx val="18"/>
          <c:order val="18"/>
          <c:tx>
            <c:strRef>
              <c:f>'Monthly Expenses (stacked)'!$T$3:$T$4</c:f>
              <c:strCache>
                <c:ptCount val="1"/>
                <c:pt idx="0">
                  <c:v>Cleaner</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(stacked)'!$T$5:$T$13</c:f>
              <c:numCache>
                <c:formatCode>General</c:formatCode>
                <c:ptCount val="8"/>
                <c:pt idx="2">
                  <c:v>833.33666666666659</c:v>
                </c:pt>
                <c:pt idx="3">
                  <c:v>666.66666666666663</c:v>
                </c:pt>
              </c:numCache>
            </c:numRef>
          </c:val>
          <c:extLst>
            <c:ext xmlns:c16="http://schemas.microsoft.com/office/drawing/2014/chart" uri="{C3380CC4-5D6E-409C-BE32-E72D297353CC}">
              <c16:uniqueId val="{00000005-DF52-476A-9829-3DA02754AC3F}"/>
            </c:ext>
          </c:extLst>
        </c:ser>
        <c:ser>
          <c:idx val="19"/>
          <c:order val="19"/>
          <c:tx>
            <c:strRef>
              <c:f>'Monthly Expenses (stacked)'!$U$3:$U$4</c:f>
              <c:strCache>
                <c:ptCount val="1"/>
                <c:pt idx="0">
                  <c:v>PPF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(stacked)'!$U$5:$U$13</c:f>
              <c:numCache>
                <c:formatCode>General</c:formatCode>
                <c:ptCount val="8"/>
                <c:pt idx="4">
                  <c:v>60000</c:v>
                </c:pt>
              </c:numCache>
            </c:numRef>
          </c:val>
          <c:extLst>
            <c:ext xmlns:c16="http://schemas.microsoft.com/office/drawing/2014/chart" uri="{C3380CC4-5D6E-409C-BE32-E72D297353CC}">
              <c16:uniqueId val="{00000006-DF52-476A-9829-3DA02754AC3F}"/>
            </c:ext>
          </c:extLst>
        </c:ser>
        <c:ser>
          <c:idx val="20"/>
          <c:order val="20"/>
          <c:tx>
            <c:strRef>
              <c:f>'Monthly Expenses (stacked)'!$V$3:$V$4</c:f>
              <c:strCache>
                <c:ptCount val="1"/>
                <c:pt idx="0">
                  <c:v>Cook</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(stacked)'!$V$5:$V$13</c:f>
              <c:numCache>
                <c:formatCode>General</c:formatCode>
                <c:ptCount val="8"/>
                <c:pt idx="6">
                  <c:v>2000</c:v>
                </c:pt>
                <c:pt idx="7">
                  <c:v>2000</c:v>
                </c:pt>
              </c:numCache>
            </c:numRef>
          </c:val>
          <c:extLst>
            <c:ext xmlns:c16="http://schemas.microsoft.com/office/drawing/2014/chart" uri="{C3380CC4-5D6E-409C-BE32-E72D297353CC}">
              <c16:uniqueId val="{00000001-42A7-4043-8C99-31BE2E98EE19}"/>
            </c:ext>
          </c:extLst>
        </c:ser>
        <c:dLbls>
          <c:showLegendKey val="0"/>
          <c:showVal val="0"/>
          <c:showCatName val="0"/>
          <c:showSerName val="0"/>
          <c:showPercent val="0"/>
          <c:showBubbleSize val="0"/>
        </c:dLbls>
        <c:gapWidth val="150"/>
        <c:overlap val="100"/>
        <c:axId val="1739255423"/>
        <c:axId val="1739263103"/>
      </c:barChart>
      <c:catAx>
        <c:axId val="17392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63103"/>
        <c:crosses val="autoZero"/>
        <c:auto val="1"/>
        <c:lblAlgn val="ctr"/>
        <c:lblOffset val="100"/>
        <c:noMultiLvlLbl val="0"/>
      </c:catAx>
      <c:valAx>
        <c:axId val="1739263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55423"/>
        <c:crosses val="autoZero"/>
        <c:crossBetween val="between"/>
      </c:valAx>
      <c:spPr>
        <a:noFill/>
        <a:ln>
          <a:noFill/>
        </a:ln>
        <a:effectLst/>
      </c:spPr>
    </c:plotArea>
    <c:legend>
      <c:legendPos val="r"/>
      <c:layout>
        <c:manualLayout>
          <c:xMode val="edge"/>
          <c:yMode val="edge"/>
          <c:x val="0.88936781925412711"/>
          <c:y val="7.3786640805268339E-2"/>
          <c:w val="7.8612930007528697E-2"/>
          <c:h val="0.7675960654163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Expenses!PivotTable1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4514672480652E-2"/>
          <c:y val="8.3466198111473169E-2"/>
          <c:w val="0.79289726622478918"/>
          <c:h val="0.75470759819982902"/>
        </c:manualLayout>
      </c:layout>
      <c:barChart>
        <c:barDir val="col"/>
        <c:grouping val="stacked"/>
        <c:varyColors val="0"/>
        <c:ser>
          <c:idx val="0"/>
          <c:order val="0"/>
          <c:tx>
            <c:strRef>
              <c:f>'Monthly Expenses'!$B$3:$B$4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Expenses'!$B$5:$B$37</c:f>
              <c:numCache>
                <c:formatCode>General</c:formatCode>
                <c:ptCount val="24"/>
                <c:pt idx="1">
                  <c:v>161.30000000000001</c:v>
                </c:pt>
                <c:pt idx="7">
                  <c:v>699</c:v>
                </c:pt>
                <c:pt idx="10">
                  <c:v>150</c:v>
                </c:pt>
                <c:pt idx="16">
                  <c:v>150</c:v>
                </c:pt>
                <c:pt idx="22">
                  <c:v>220</c:v>
                </c:pt>
              </c:numCache>
            </c:numRef>
          </c:val>
          <c:extLst>
            <c:ext xmlns:c16="http://schemas.microsoft.com/office/drawing/2014/chart" uri="{C3380CC4-5D6E-409C-BE32-E72D297353CC}">
              <c16:uniqueId val="{00000000-3480-41A2-87F9-19F17A2CEEF5}"/>
            </c:ext>
          </c:extLst>
        </c:ser>
        <c:ser>
          <c:idx val="1"/>
          <c:order val="1"/>
          <c:tx>
            <c:strRef>
              <c:f>'Monthly Expenses'!$C$3:$C$4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Expenses'!$C$5:$C$37</c:f>
              <c:numCache>
                <c:formatCode>General</c:formatCode>
                <c:ptCount val="24"/>
                <c:pt idx="2">
                  <c:v>3418.0549999999998</c:v>
                </c:pt>
                <c:pt idx="5">
                  <c:v>2596</c:v>
                </c:pt>
                <c:pt idx="8">
                  <c:v>12025</c:v>
                </c:pt>
                <c:pt idx="11">
                  <c:v>15388</c:v>
                </c:pt>
                <c:pt idx="14">
                  <c:v>16671</c:v>
                </c:pt>
                <c:pt idx="23">
                  <c:v>2145</c:v>
                </c:pt>
              </c:numCache>
            </c:numRef>
          </c:val>
          <c:extLst>
            <c:ext xmlns:c16="http://schemas.microsoft.com/office/drawing/2014/chart" uri="{C3380CC4-5D6E-409C-BE32-E72D297353CC}">
              <c16:uniqueId val="{00000000-2C6A-41AE-BE81-CF1B9268FF76}"/>
            </c:ext>
          </c:extLst>
        </c:ser>
        <c:ser>
          <c:idx val="2"/>
          <c:order val="2"/>
          <c:tx>
            <c:strRef>
              <c:f>'Monthly Expenses'!$D$3:$D$4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Expenses'!$D$5:$D$37</c:f>
              <c:numCache>
                <c:formatCode>General</c:formatCode>
                <c:ptCount val="24"/>
                <c:pt idx="2">
                  <c:v>9722</c:v>
                </c:pt>
                <c:pt idx="5">
                  <c:v>4786</c:v>
                </c:pt>
                <c:pt idx="8">
                  <c:v>15816.079999999998</c:v>
                </c:pt>
                <c:pt idx="11">
                  <c:v>9702.2966666666671</c:v>
                </c:pt>
                <c:pt idx="14">
                  <c:v>16233</c:v>
                </c:pt>
                <c:pt idx="17">
                  <c:v>13315.333333333334</c:v>
                </c:pt>
                <c:pt idx="20">
                  <c:v>14836.333333333334</c:v>
                </c:pt>
                <c:pt idx="23">
                  <c:v>10737.903333333334</c:v>
                </c:pt>
              </c:numCache>
            </c:numRef>
          </c:val>
          <c:extLst>
            <c:ext xmlns:c16="http://schemas.microsoft.com/office/drawing/2014/chart" uri="{C3380CC4-5D6E-409C-BE32-E72D297353CC}">
              <c16:uniqueId val="{00000001-2C6A-41AE-BE81-CF1B9268FF76}"/>
            </c:ext>
          </c:extLst>
        </c:ser>
        <c:ser>
          <c:idx val="3"/>
          <c:order val="3"/>
          <c:tx>
            <c:strRef>
              <c:f>'Monthly Expenses'!$E$3:$E$4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Expenses'!$E$5:$E$37</c:f>
              <c:numCache>
                <c:formatCode>General</c:formatCode>
                <c:ptCount val="24"/>
                <c:pt idx="2">
                  <c:v>7925.0550000000003</c:v>
                </c:pt>
                <c:pt idx="5">
                  <c:v>6725</c:v>
                </c:pt>
                <c:pt idx="8">
                  <c:v>36305.19</c:v>
                </c:pt>
                <c:pt idx="11">
                  <c:v>7890</c:v>
                </c:pt>
                <c:pt idx="14">
                  <c:v>500</c:v>
                </c:pt>
                <c:pt idx="17">
                  <c:v>5375</c:v>
                </c:pt>
                <c:pt idx="20">
                  <c:v>2275</c:v>
                </c:pt>
              </c:numCache>
            </c:numRef>
          </c:val>
          <c:extLst>
            <c:ext xmlns:c16="http://schemas.microsoft.com/office/drawing/2014/chart" uri="{C3380CC4-5D6E-409C-BE32-E72D297353CC}">
              <c16:uniqueId val="{00000002-2C6A-41AE-BE81-CF1B9268FF76}"/>
            </c:ext>
          </c:extLst>
        </c:ser>
        <c:ser>
          <c:idx val="4"/>
          <c:order val="4"/>
          <c:tx>
            <c:strRef>
              <c:f>'Monthly Expenses'!$F$3:$F$4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Expenses'!$F$5:$F$37</c:f>
              <c:numCache>
                <c:formatCode>General</c:formatCode>
                <c:ptCount val="24"/>
                <c:pt idx="2">
                  <c:v>2178</c:v>
                </c:pt>
                <c:pt idx="5">
                  <c:v>3489.5</c:v>
                </c:pt>
                <c:pt idx="8">
                  <c:v>2184.11</c:v>
                </c:pt>
                <c:pt idx="11">
                  <c:v>5134.43</c:v>
                </c:pt>
                <c:pt idx="14">
                  <c:v>10159</c:v>
                </c:pt>
                <c:pt idx="17">
                  <c:v>5373.34</c:v>
                </c:pt>
                <c:pt idx="20">
                  <c:v>766</c:v>
                </c:pt>
              </c:numCache>
            </c:numRef>
          </c:val>
          <c:extLst>
            <c:ext xmlns:c16="http://schemas.microsoft.com/office/drawing/2014/chart" uri="{C3380CC4-5D6E-409C-BE32-E72D297353CC}">
              <c16:uniqueId val="{00000003-2C6A-41AE-BE81-CF1B9268FF76}"/>
            </c:ext>
          </c:extLst>
        </c:ser>
        <c:ser>
          <c:idx val="5"/>
          <c:order val="5"/>
          <c:tx>
            <c:strRef>
              <c:f>'Monthly Expenses'!$G$3:$G$4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Expenses'!$G$5:$G$37</c:f>
              <c:numCache>
                <c:formatCode>General</c:formatCode>
                <c:ptCount val="24"/>
                <c:pt idx="1">
                  <c:v>3622.6</c:v>
                </c:pt>
                <c:pt idx="4">
                  <c:v>2457.6266666666666</c:v>
                </c:pt>
                <c:pt idx="7">
                  <c:v>3596.07</c:v>
                </c:pt>
                <c:pt idx="10">
                  <c:v>3468</c:v>
                </c:pt>
                <c:pt idx="13">
                  <c:v>4784</c:v>
                </c:pt>
                <c:pt idx="16">
                  <c:v>2732.666666666667</c:v>
                </c:pt>
                <c:pt idx="19">
                  <c:v>1580</c:v>
                </c:pt>
                <c:pt idx="22">
                  <c:v>140</c:v>
                </c:pt>
              </c:numCache>
            </c:numRef>
          </c:val>
          <c:extLst>
            <c:ext xmlns:c16="http://schemas.microsoft.com/office/drawing/2014/chart" uri="{C3380CC4-5D6E-409C-BE32-E72D297353CC}">
              <c16:uniqueId val="{00000004-2C6A-41AE-BE81-CF1B9268FF76}"/>
            </c:ext>
          </c:extLst>
        </c:ser>
        <c:ser>
          <c:idx val="6"/>
          <c:order val="6"/>
          <c:tx>
            <c:strRef>
              <c:f>'Monthly Expenses'!$H$3:$H$4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Expenses'!$H$5:$H$37</c:f>
              <c:numCache>
                <c:formatCode>General</c:formatCode>
                <c:ptCount val="24"/>
                <c:pt idx="5">
                  <c:v>1067.3333333333333</c:v>
                </c:pt>
                <c:pt idx="8">
                  <c:v>92</c:v>
                </c:pt>
                <c:pt idx="11">
                  <c:v>3845</c:v>
                </c:pt>
                <c:pt idx="20">
                  <c:v>320</c:v>
                </c:pt>
              </c:numCache>
            </c:numRef>
          </c:val>
          <c:extLst>
            <c:ext xmlns:c16="http://schemas.microsoft.com/office/drawing/2014/chart" uri="{C3380CC4-5D6E-409C-BE32-E72D297353CC}">
              <c16:uniqueId val="{00000005-2C6A-41AE-BE81-CF1B9268FF76}"/>
            </c:ext>
          </c:extLst>
        </c:ser>
        <c:ser>
          <c:idx val="7"/>
          <c:order val="7"/>
          <c:tx>
            <c:strRef>
              <c:f>'Monthly Expenses'!$I$3:$I$4</c:f>
              <c:strCache>
                <c:ptCount val="1"/>
                <c:pt idx="0">
                  <c:v>MF</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Expenses'!$I$5:$I$37</c:f>
              <c:numCache>
                <c:formatCode>General</c:formatCode>
                <c:ptCount val="24"/>
                <c:pt idx="0">
                  <c:v>1000</c:v>
                </c:pt>
                <c:pt idx="6">
                  <c:v>15000</c:v>
                </c:pt>
                <c:pt idx="9">
                  <c:v>15000</c:v>
                </c:pt>
                <c:pt idx="12">
                  <c:v>35000</c:v>
                </c:pt>
                <c:pt idx="15">
                  <c:v>35000</c:v>
                </c:pt>
                <c:pt idx="18">
                  <c:v>17000</c:v>
                </c:pt>
                <c:pt idx="21">
                  <c:v>20000</c:v>
                </c:pt>
              </c:numCache>
            </c:numRef>
          </c:val>
          <c:extLst>
            <c:ext xmlns:c16="http://schemas.microsoft.com/office/drawing/2014/chart" uri="{C3380CC4-5D6E-409C-BE32-E72D297353CC}">
              <c16:uniqueId val="{00000006-2C6A-41AE-BE81-CF1B9268FF76}"/>
            </c:ext>
          </c:extLst>
        </c:ser>
        <c:ser>
          <c:idx val="8"/>
          <c:order val="8"/>
          <c:tx>
            <c:strRef>
              <c:f>'Monthly Expenses'!$J$3:$J$4</c:f>
              <c:strCache>
                <c:ptCount val="1"/>
                <c:pt idx="0">
                  <c:v>Mobile Recharge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Expenses'!$J$5:$J$37</c:f>
              <c:numCache>
                <c:formatCode>General</c:formatCode>
                <c:ptCount val="24"/>
                <c:pt idx="1">
                  <c:v>1810.1599999999999</c:v>
                </c:pt>
                <c:pt idx="4">
                  <c:v>200.9</c:v>
                </c:pt>
                <c:pt idx="7">
                  <c:v>704.92000000000007</c:v>
                </c:pt>
                <c:pt idx="10">
                  <c:v>530</c:v>
                </c:pt>
                <c:pt idx="13">
                  <c:v>49</c:v>
                </c:pt>
                <c:pt idx="16">
                  <c:v>534</c:v>
                </c:pt>
                <c:pt idx="19">
                  <c:v>677</c:v>
                </c:pt>
              </c:numCache>
            </c:numRef>
          </c:val>
          <c:extLst>
            <c:ext xmlns:c16="http://schemas.microsoft.com/office/drawing/2014/chart" uri="{C3380CC4-5D6E-409C-BE32-E72D297353CC}">
              <c16:uniqueId val="{00000007-2C6A-41AE-BE81-CF1B9268FF76}"/>
            </c:ext>
          </c:extLst>
        </c:ser>
        <c:ser>
          <c:idx val="9"/>
          <c:order val="9"/>
          <c:tx>
            <c:strRef>
              <c:f>'Monthly Expenses'!$K$3:$K$4</c:f>
              <c:strCache>
                <c:ptCount val="1"/>
                <c:pt idx="0">
                  <c:v>Office Food</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Expenses'!$K$5:$K$37</c:f>
              <c:numCache>
                <c:formatCode>General</c:formatCode>
                <c:ptCount val="24"/>
                <c:pt idx="1">
                  <c:v>2307</c:v>
                </c:pt>
                <c:pt idx="4">
                  <c:v>4082.3</c:v>
                </c:pt>
                <c:pt idx="7">
                  <c:v>2082</c:v>
                </c:pt>
                <c:pt idx="10">
                  <c:v>2139</c:v>
                </c:pt>
                <c:pt idx="13">
                  <c:v>1228</c:v>
                </c:pt>
                <c:pt idx="16">
                  <c:v>2424</c:v>
                </c:pt>
                <c:pt idx="19">
                  <c:v>1085</c:v>
                </c:pt>
                <c:pt idx="22">
                  <c:v>1382</c:v>
                </c:pt>
              </c:numCache>
            </c:numRef>
          </c:val>
          <c:extLst>
            <c:ext xmlns:c16="http://schemas.microsoft.com/office/drawing/2014/chart" uri="{C3380CC4-5D6E-409C-BE32-E72D297353CC}">
              <c16:uniqueId val="{00000008-2C6A-41AE-BE81-CF1B9268FF76}"/>
            </c:ext>
          </c:extLst>
        </c:ser>
        <c:ser>
          <c:idx val="10"/>
          <c:order val="10"/>
          <c:tx>
            <c:strRef>
              <c:f>'Monthly Expenses'!$L$3:$L$4</c:f>
              <c:strCache>
                <c:ptCount val="1"/>
                <c:pt idx="0">
                  <c:v>Office Transport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Expenses'!$L$5:$L$37</c:f>
              <c:numCache>
                <c:formatCode>General</c:formatCode>
                <c:ptCount val="24"/>
                <c:pt idx="1">
                  <c:v>290</c:v>
                </c:pt>
                <c:pt idx="4">
                  <c:v>1825</c:v>
                </c:pt>
                <c:pt idx="7">
                  <c:v>1107</c:v>
                </c:pt>
                <c:pt idx="10">
                  <c:v>1598.6666666666667</c:v>
                </c:pt>
                <c:pt idx="13">
                  <c:v>572</c:v>
                </c:pt>
                <c:pt idx="16">
                  <c:v>885</c:v>
                </c:pt>
                <c:pt idx="19">
                  <c:v>776</c:v>
                </c:pt>
                <c:pt idx="22">
                  <c:v>1031</c:v>
                </c:pt>
              </c:numCache>
            </c:numRef>
          </c:val>
          <c:extLst>
            <c:ext xmlns:c16="http://schemas.microsoft.com/office/drawing/2014/chart" uri="{C3380CC4-5D6E-409C-BE32-E72D297353CC}">
              <c16:uniqueId val="{00000009-2C6A-41AE-BE81-CF1B9268FF76}"/>
            </c:ext>
          </c:extLst>
        </c:ser>
        <c:ser>
          <c:idx val="11"/>
          <c:order val="11"/>
          <c:tx>
            <c:strRef>
              <c:f>'Monthly Expenses'!$M$3:$M$4</c:f>
              <c:strCache>
                <c:ptCount val="1"/>
                <c:pt idx="0">
                  <c:v>Rent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Expenses'!$M$5:$M$37</c:f>
              <c:numCache>
                <c:formatCode>General</c:formatCode>
                <c:ptCount val="24"/>
                <c:pt idx="1">
                  <c:v>20734</c:v>
                </c:pt>
                <c:pt idx="4">
                  <c:v>20201.169999999998</c:v>
                </c:pt>
                <c:pt idx="7">
                  <c:v>20666.666666666668</c:v>
                </c:pt>
                <c:pt idx="10">
                  <c:v>20666.666666666668</c:v>
                </c:pt>
                <c:pt idx="13">
                  <c:v>20666.666666666668</c:v>
                </c:pt>
                <c:pt idx="16">
                  <c:v>20666.666666666668</c:v>
                </c:pt>
                <c:pt idx="19">
                  <c:v>20667</c:v>
                </c:pt>
                <c:pt idx="22">
                  <c:v>20666.666666666668</c:v>
                </c:pt>
              </c:numCache>
            </c:numRef>
          </c:val>
          <c:extLst>
            <c:ext xmlns:c16="http://schemas.microsoft.com/office/drawing/2014/chart" uri="{C3380CC4-5D6E-409C-BE32-E72D297353CC}">
              <c16:uniqueId val="{0000000A-2C6A-41AE-BE81-CF1B9268FF76}"/>
            </c:ext>
          </c:extLst>
        </c:ser>
        <c:ser>
          <c:idx val="12"/>
          <c:order val="12"/>
          <c:tx>
            <c:strRef>
              <c:f>'Monthly Expenses'!$N$3:$N$4</c:f>
              <c:strCache>
                <c:ptCount val="1"/>
                <c:pt idx="0">
                  <c:v>Stocks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Expenses'!$N$5:$N$37</c:f>
              <c:numCache>
                <c:formatCode>General</c:formatCode>
                <c:ptCount val="24"/>
                <c:pt idx="3">
                  <c:v>5000</c:v>
                </c:pt>
                <c:pt idx="12">
                  <c:v>35000</c:v>
                </c:pt>
                <c:pt idx="18">
                  <c:v>20000</c:v>
                </c:pt>
              </c:numCache>
            </c:numRef>
          </c:val>
          <c:extLst>
            <c:ext xmlns:c16="http://schemas.microsoft.com/office/drawing/2014/chart" uri="{C3380CC4-5D6E-409C-BE32-E72D297353CC}">
              <c16:uniqueId val="{0000000B-2C6A-41AE-BE81-CF1B9268FF76}"/>
            </c:ext>
          </c:extLst>
        </c:ser>
        <c:ser>
          <c:idx val="13"/>
          <c:order val="13"/>
          <c:tx>
            <c:strRef>
              <c:f>'Monthly Expenses'!$O$3:$O$4</c:f>
              <c:strCache>
                <c:ptCount val="1"/>
                <c:pt idx="0">
                  <c:v>Streaming Services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Expenses'!$O$5:$O$37</c:f>
              <c:numCache>
                <c:formatCode>General</c:formatCode>
                <c:ptCount val="24"/>
                <c:pt idx="2">
                  <c:v>606</c:v>
                </c:pt>
                <c:pt idx="5">
                  <c:v>606</c:v>
                </c:pt>
                <c:pt idx="8">
                  <c:v>1837</c:v>
                </c:pt>
                <c:pt idx="11">
                  <c:v>347</c:v>
                </c:pt>
                <c:pt idx="14">
                  <c:v>347</c:v>
                </c:pt>
                <c:pt idx="17">
                  <c:v>148</c:v>
                </c:pt>
                <c:pt idx="20">
                  <c:v>1747</c:v>
                </c:pt>
                <c:pt idx="23">
                  <c:v>477</c:v>
                </c:pt>
              </c:numCache>
            </c:numRef>
          </c:val>
          <c:extLst>
            <c:ext xmlns:c16="http://schemas.microsoft.com/office/drawing/2014/chart" uri="{C3380CC4-5D6E-409C-BE32-E72D297353CC}">
              <c16:uniqueId val="{0000000C-2C6A-41AE-BE81-CF1B9268FF76}"/>
            </c:ext>
          </c:extLst>
        </c:ser>
        <c:ser>
          <c:idx val="14"/>
          <c:order val="14"/>
          <c:tx>
            <c:strRef>
              <c:f>'Monthly Expenses'!$P$3:$P$4</c:f>
              <c:strCache>
                <c:ptCount val="1"/>
                <c:pt idx="0">
                  <c:v>Transport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Expenses'!$P$5:$P$37</c:f>
              <c:numCache>
                <c:formatCode>General</c:formatCode>
                <c:ptCount val="24"/>
                <c:pt idx="2">
                  <c:v>2459.416666666667</c:v>
                </c:pt>
                <c:pt idx="5">
                  <c:v>665.5</c:v>
                </c:pt>
                <c:pt idx="8">
                  <c:v>2085.833333333333</c:v>
                </c:pt>
                <c:pt idx="11">
                  <c:v>1730.1666666666667</c:v>
                </c:pt>
                <c:pt idx="14">
                  <c:v>3291</c:v>
                </c:pt>
                <c:pt idx="17">
                  <c:v>340</c:v>
                </c:pt>
                <c:pt idx="20">
                  <c:v>1561</c:v>
                </c:pt>
                <c:pt idx="23">
                  <c:v>944.33333333333337</c:v>
                </c:pt>
              </c:numCache>
            </c:numRef>
          </c:val>
          <c:extLst>
            <c:ext xmlns:c16="http://schemas.microsoft.com/office/drawing/2014/chart" uri="{C3380CC4-5D6E-409C-BE32-E72D297353CC}">
              <c16:uniqueId val="{0000000D-2C6A-41AE-BE81-CF1B9268FF76}"/>
            </c:ext>
          </c:extLst>
        </c:ser>
        <c:ser>
          <c:idx val="15"/>
          <c:order val="15"/>
          <c:tx>
            <c:strRef>
              <c:f>'Monthly Expenses'!$Q$3:$Q$4</c:f>
              <c:strCache>
                <c:ptCount val="1"/>
                <c:pt idx="0">
                  <c:v>Travel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Expenses'!$Q$5:$Q$37</c:f>
              <c:numCache>
                <c:formatCode>General</c:formatCode>
                <c:ptCount val="24"/>
                <c:pt idx="1">
                  <c:v>12640</c:v>
                </c:pt>
                <c:pt idx="4">
                  <c:v>17161</c:v>
                </c:pt>
                <c:pt idx="10">
                  <c:v>16376</c:v>
                </c:pt>
                <c:pt idx="16">
                  <c:v>18028.166666666664</c:v>
                </c:pt>
              </c:numCache>
            </c:numRef>
          </c:val>
          <c:extLst>
            <c:ext xmlns:c16="http://schemas.microsoft.com/office/drawing/2014/chart" uri="{C3380CC4-5D6E-409C-BE32-E72D297353CC}">
              <c16:uniqueId val="{0000000E-2C6A-41AE-BE81-CF1B9268FF76}"/>
            </c:ext>
          </c:extLst>
        </c:ser>
        <c:ser>
          <c:idx val="16"/>
          <c:order val="16"/>
          <c:tx>
            <c:strRef>
              <c:f>'Monthly Expenses'!$R$3:$R$4</c:f>
              <c:strCache>
                <c:ptCount val="1"/>
                <c:pt idx="0">
                  <c:v>ud gaye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Expenses'!$R$5:$R$37</c:f>
              <c:numCache>
                <c:formatCode>General</c:formatCode>
                <c:ptCount val="24"/>
                <c:pt idx="2">
                  <c:v>6434</c:v>
                </c:pt>
                <c:pt idx="5">
                  <c:v>2586</c:v>
                </c:pt>
                <c:pt idx="8">
                  <c:v>10913</c:v>
                </c:pt>
                <c:pt idx="11">
                  <c:v>6373</c:v>
                </c:pt>
                <c:pt idx="14">
                  <c:v>3265</c:v>
                </c:pt>
                <c:pt idx="17">
                  <c:v>2984</c:v>
                </c:pt>
                <c:pt idx="20">
                  <c:v>760</c:v>
                </c:pt>
                <c:pt idx="23">
                  <c:v>108044</c:v>
                </c:pt>
              </c:numCache>
            </c:numRef>
          </c:val>
          <c:extLst>
            <c:ext xmlns:c16="http://schemas.microsoft.com/office/drawing/2014/chart" uri="{C3380CC4-5D6E-409C-BE32-E72D297353CC}">
              <c16:uniqueId val="{0000000F-2C6A-41AE-BE81-CF1B9268FF76}"/>
            </c:ext>
          </c:extLst>
        </c:ser>
        <c:ser>
          <c:idx val="17"/>
          <c:order val="17"/>
          <c:tx>
            <c:strRef>
              <c:f>'Monthly Expenses'!$S$3:$S$4</c:f>
              <c:strCache>
                <c:ptCount val="1"/>
                <c:pt idx="0">
                  <c:v>Unsure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Expenses'!$S$5:$S$37</c:f>
              <c:numCache>
                <c:formatCode>General</c:formatCode>
                <c:ptCount val="24"/>
                <c:pt idx="2">
                  <c:v>670</c:v>
                </c:pt>
              </c:numCache>
            </c:numRef>
          </c:val>
          <c:extLst>
            <c:ext xmlns:c16="http://schemas.microsoft.com/office/drawing/2014/chart" uri="{C3380CC4-5D6E-409C-BE32-E72D297353CC}">
              <c16:uniqueId val="{00000010-2C6A-41AE-BE81-CF1B9268FF76}"/>
            </c:ext>
          </c:extLst>
        </c:ser>
        <c:ser>
          <c:idx val="18"/>
          <c:order val="18"/>
          <c:tx>
            <c:strRef>
              <c:f>'Monthly Expenses'!$T$3:$T$4</c:f>
              <c:strCache>
                <c:ptCount val="1"/>
                <c:pt idx="0">
                  <c:v>Cleaner</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Expenses'!$T$5:$T$37</c:f>
              <c:numCache>
                <c:formatCode>General</c:formatCode>
                <c:ptCount val="24"/>
                <c:pt idx="7">
                  <c:v>833.33666666666659</c:v>
                </c:pt>
                <c:pt idx="10">
                  <c:v>666.66666666666663</c:v>
                </c:pt>
              </c:numCache>
            </c:numRef>
          </c:val>
          <c:extLst>
            <c:ext xmlns:c16="http://schemas.microsoft.com/office/drawing/2014/chart" uri="{C3380CC4-5D6E-409C-BE32-E72D297353CC}">
              <c16:uniqueId val="{00000011-2C6A-41AE-BE81-CF1B9268FF76}"/>
            </c:ext>
          </c:extLst>
        </c:ser>
        <c:ser>
          <c:idx val="19"/>
          <c:order val="19"/>
          <c:tx>
            <c:strRef>
              <c:f>'Monthly Expenses'!$U$3:$U$4</c:f>
              <c:strCache>
                <c:ptCount val="1"/>
                <c:pt idx="0">
                  <c:v>PPF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Expenses'!$U$5:$U$37</c:f>
              <c:numCache>
                <c:formatCode>General</c:formatCode>
                <c:ptCount val="24"/>
                <c:pt idx="12">
                  <c:v>60000</c:v>
                </c:pt>
              </c:numCache>
            </c:numRef>
          </c:val>
          <c:extLst>
            <c:ext xmlns:c16="http://schemas.microsoft.com/office/drawing/2014/chart" uri="{C3380CC4-5D6E-409C-BE32-E72D297353CC}">
              <c16:uniqueId val="{00000012-2C6A-41AE-BE81-CF1B9268FF76}"/>
            </c:ext>
          </c:extLst>
        </c:ser>
        <c:ser>
          <c:idx val="20"/>
          <c:order val="20"/>
          <c:tx>
            <c:strRef>
              <c:f>'Monthly Expenses'!$V$3:$V$4</c:f>
              <c:strCache>
                <c:ptCount val="1"/>
                <c:pt idx="0">
                  <c:v>Cook</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Expenses'!$V$5:$V$37</c:f>
              <c:numCache>
                <c:formatCode>General</c:formatCode>
                <c:ptCount val="24"/>
                <c:pt idx="19">
                  <c:v>2000</c:v>
                </c:pt>
                <c:pt idx="22">
                  <c:v>2000</c:v>
                </c:pt>
              </c:numCache>
            </c:numRef>
          </c:val>
          <c:extLst>
            <c:ext xmlns:c16="http://schemas.microsoft.com/office/drawing/2014/chart" uri="{C3380CC4-5D6E-409C-BE32-E72D297353CC}">
              <c16:uniqueId val="{00000000-C94C-44C5-B09B-38B42BC7D2D5}"/>
            </c:ext>
          </c:extLst>
        </c:ser>
        <c:dLbls>
          <c:showLegendKey val="0"/>
          <c:showVal val="0"/>
          <c:showCatName val="0"/>
          <c:showSerName val="0"/>
          <c:showPercent val="0"/>
          <c:showBubbleSize val="0"/>
        </c:dLbls>
        <c:gapWidth val="150"/>
        <c:overlap val="100"/>
        <c:axId val="1739255423"/>
        <c:axId val="1739263103"/>
      </c:barChart>
      <c:catAx>
        <c:axId val="17392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63103"/>
        <c:crosses val="autoZero"/>
        <c:auto val="1"/>
        <c:lblAlgn val="ctr"/>
        <c:lblOffset val="100"/>
        <c:noMultiLvlLbl val="0"/>
      </c:catAx>
      <c:valAx>
        <c:axId val="1739263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55423"/>
        <c:crosses val="autoZero"/>
        <c:crossBetween val="between"/>
      </c:valAx>
      <c:spPr>
        <a:noFill/>
        <a:ln>
          <a:noFill/>
        </a:ln>
        <a:effectLst/>
      </c:spPr>
    </c:plotArea>
    <c:legend>
      <c:legendPos val="r"/>
      <c:layout>
        <c:manualLayout>
          <c:xMode val="edge"/>
          <c:yMode val="edge"/>
          <c:x val="0.86051509455262809"/>
          <c:y val="1.5465257663978918E-2"/>
          <c:w val="8.507317955011405E-2"/>
          <c:h val="0.78847770605940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[BudgetAndExpenses.xlsx]Purpose-Wise Expenses!PivotTable1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'Purpose-Wise Expenses'!$B$3:$B$4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Expenses'!$B$5:$B$13</c:f>
              <c:numCache>
                <c:formatCode>General</c:formatCode>
                <c:ptCount val="8"/>
                <c:pt idx="1">
                  <c:v>41.3</c:v>
                </c:pt>
              </c:numCache>
            </c:numRef>
          </c:val>
          <c:extLst>
            <c:ext xmlns:c16="http://schemas.microsoft.com/office/drawing/2014/chart" uri="{C3380CC4-5D6E-409C-BE32-E72D297353CC}">
              <c16:uniqueId val="{00000000-4C68-459B-9CED-4D17838A6229}"/>
            </c:ext>
          </c:extLst>
        </c:ser>
        <c:ser>
          <c:idx val="1"/>
          <c:order val="1"/>
          <c:tx>
            <c:strRef>
              <c:f>'Purpose-Wise Expenses'!$C$3:$C$4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Expenses'!$C$5:$C$13</c:f>
              <c:numCache>
                <c:formatCode>General</c:formatCode>
                <c:ptCount val="8"/>
                <c:pt idx="0">
                  <c:v>3418.0549999999998</c:v>
                </c:pt>
                <c:pt idx="3">
                  <c:v>400</c:v>
                </c:pt>
                <c:pt idx="4">
                  <c:v>2807</c:v>
                </c:pt>
              </c:numCache>
            </c:numRef>
          </c:val>
          <c:extLst>
            <c:ext xmlns:c16="http://schemas.microsoft.com/office/drawing/2014/chart" uri="{C3380CC4-5D6E-409C-BE32-E72D297353CC}">
              <c16:uniqueId val="{0000001A-4C68-459B-9CED-4D17838A6229}"/>
            </c:ext>
          </c:extLst>
        </c:ser>
        <c:ser>
          <c:idx val="2"/>
          <c:order val="2"/>
          <c:tx>
            <c:strRef>
              <c:f>'Purpose-Wise Expenses'!$D$3:$D$4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Expenses'!$D$5:$D$13</c:f>
              <c:numCache>
                <c:formatCode>General</c:formatCode>
                <c:ptCount val="8"/>
                <c:pt idx="0">
                  <c:v>4053</c:v>
                </c:pt>
                <c:pt idx="1">
                  <c:v>3338</c:v>
                </c:pt>
                <c:pt idx="2">
                  <c:v>2901.9700000000003</c:v>
                </c:pt>
                <c:pt idx="3">
                  <c:v>7098</c:v>
                </c:pt>
                <c:pt idx="6">
                  <c:v>2526</c:v>
                </c:pt>
                <c:pt idx="7">
                  <c:v>296.33333333333337</c:v>
                </c:pt>
              </c:numCache>
            </c:numRef>
          </c:val>
          <c:extLst>
            <c:ext xmlns:c16="http://schemas.microsoft.com/office/drawing/2014/chart" uri="{C3380CC4-5D6E-409C-BE32-E72D297353CC}">
              <c16:uniqueId val="{0000001B-4C68-459B-9CED-4D17838A6229}"/>
            </c:ext>
          </c:extLst>
        </c:ser>
        <c:ser>
          <c:idx val="3"/>
          <c:order val="3"/>
          <c:tx>
            <c:strRef>
              <c:f>'Purpose-Wise Expenses'!$E$3:$E$4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Expenses'!$E$5:$E$13</c:f>
              <c:numCache>
                <c:formatCode>General</c:formatCode>
                <c:ptCount val="8"/>
                <c:pt idx="0">
                  <c:v>3775.0549999999998</c:v>
                </c:pt>
                <c:pt idx="2">
                  <c:v>10872.69</c:v>
                </c:pt>
                <c:pt idx="3">
                  <c:v>801</c:v>
                </c:pt>
              </c:numCache>
            </c:numRef>
          </c:val>
          <c:extLst>
            <c:ext xmlns:c16="http://schemas.microsoft.com/office/drawing/2014/chart" uri="{C3380CC4-5D6E-409C-BE32-E72D297353CC}">
              <c16:uniqueId val="{0000001C-4C68-459B-9CED-4D17838A6229}"/>
            </c:ext>
          </c:extLst>
        </c:ser>
        <c:ser>
          <c:idx val="4"/>
          <c:order val="4"/>
          <c:tx>
            <c:strRef>
              <c:f>'Purpose-Wise Expenses'!$F$3:$F$4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Expenses'!$F$5:$F$13</c:f>
              <c:numCache>
                <c:formatCode>General</c:formatCode>
                <c:ptCount val="8"/>
                <c:pt idx="3">
                  <c:v>40</c:v>
                </c:pt>
                <c:pt idx="4">
                  <c:v>12800</c:v>
                </c:pt>
                <c:pt idx="5">
                  <c:v>5734</c:v>
                </c:pt>
                <c:pt idx="6">
                  <c:v>3984</c:v>
                </c:pt>
              </c:numCache>
            </c:numRef>
          </c:val>
          <c:extLst>
            <c:ext xmlns:c16="http://schemas.microsoft.com/office/drawing/2014/chart" uri="{C3380CC4-5D6E-409C-BE32-E72D297353CC}">
              <c16:uniqueId val="{0000001D-4C68-459B-9CED-4D17838A6229}"/>
            </c:ext>
          </c:extLst>
        </c:ser>
        <c:ser>
          <c:idx val="5"/>
          <c:order val="5"/>
          <c:tx>
            <c:strRef>
              <c:f>'Purpose-Wise Expenses'!$G$3:$G$4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Expenses'!$G$5:$G$13</c:f>
              <c:numCache>
                <c:formatCode>General</c:formatCode>
                <c:ptCount val="8"/>
                <c:pt idx="2">
                  <c:v>746</c:v>
                </c:pt>
                <c:pt idx="3">
                  <c:v>1172</c:v>
                </c:pt>
              </c:numCache>
            </c:numRef>
          </c:val>
          <c:extLst>
            <c:ext xmlns:c16="http://schemas.microsoft.com/office/drawing/2014/chart" uri="{C3380CC4-5D6E-409C-BE32-E72D297353CC}">
              <c16:uniqueId val="{0000001E-4C68-459B-9CED-4D17838A6229}"/>
            </c:ext>
          </c:extLst>
        </c:ser>
        <c:ser>
          <c:idx val="6"/>
          <c:order val="6"/>
          <c:tx>
            <c:strRef>
              <c:f>'Purpose-Wise Expenses'!$H$3:$H$4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Expenses'!$H$5:$H$13</c:f>
              <c:numCache>
                <c:formatCode>General</c:formatCode>
                <c:ptCount val="8"/>
                <c:pt idx="7">
                  <c:v>320</c:v>
                </c:pt>
              </c:numCache>
            </c:numRef>
          </c:val>
          <c:extLst>
            <c:ext xmlns:c16="http://schemas.microsoft.com/office/drawing/2014/chart" uri="{C3380CC4-5D6E-409C-BE32-E72D297353CC}">
              <c16:uniqueId val="{0000001F-4C68-459B-9CED-4D17838A6229}"/>
            </c:ext>
          </c:extLst>
        </c:ser>
        <c:ser>
          <c:idx val="7"/>
          <c:order val="7"/>
          <c:tx>
            <c:strRef>
              <c:f>'Purpose-Wise Expenses'!$I$3:$I$4</c:f>
              <c:strCache>
                <c:ptCount val="1"/>
                <c:pt idx="0">
                  <c:v>Streaming Services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Expenses'!$I$5:$I$13</c:f>
              <c:numCache>
                <c:formatCode>General</c:formatCode>
                <c:ptCount val="8"/>
                <c:pt idx="3">
                  <c:v>119</c:v>
                </c:pt>
              </c:numCache>
            </c:numRef>
          </c:val>
          <c:extLst>
            <c:ext xmlns:c16="http://schemas.microsoft.com/office/drawing/2014/chart" uri="{C3380CC4-5D6E-409C-BE32-E72D297353CC}">
              <c16:uniqueId val="{00000020-4C68-459B-9CED-4D17838A6229}"/>
            </c:ext>
          </c:extLst>
        </c:ser>
        <c:ser>
          <c:idx val="8"/>
          <c:order val="8"/>
          <c:tx>
            <c:strRef>
              <c:f>'Purpose-Wise Expenses'!$J$3:$J$4</c:f>
              <c:strCache>
                <c:ptCount val="1"/>
                <c:pt idx="0">
                  <c:v>Transport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Expenses'!$J$5:$J$13</c:f>
              <c:numCache>
                <c:formatCode>General</c:formatCode>
                <c:ptCount val="8"/>
                <c:pt idx="0">
                  <c:v>340</c:v>
                </c:pt>
                <c:pt idx="1">
                  <c:v>1166.6666666666665</c:v>
                </c:pt>
                <c:pt idx="2">
                  <c:v>936</c:v>
                </c:pt>
                <c:pt idx="3">
                  <c:v>2774</c:v>
                </c:pt>
                <c:pt idx="6">
                  <c:v>992</c:v>
                </c:pt>
                <c:pt idx="7">
                  <c:v>232</c:v>
                </c:pt>
              </c:numCache>
            </c:numRef>
          </c:val>
          <c:extLst>
            <c:ext xmlns:c16="http://schemas.microsoft.com/office/drawing/2014/chart" uri="{C3380CC4-5D6E-409C-BE32-E72D297353CC}">
              <c16:uniqueId val="{00000021-4C68-459B-9CED-4D17838A6229}"/>
            </c:ext>
          </c:extLst>
        </c:ser>
        <c:ser>
          <c:idx val="9"/>
          <c:order val="9"/>
          <c:tx>
            <c:strRef>
              <c:f>'Purpose-Wise Expenses'!$K$3:$K$4</c:f>
              <c:strCache>
                <c:ptCount val="1"/>
                <c:pt idx="0">
                  <c:v>Travel</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Expenses'!$K$5:$K$13</c:f>
              <c:numCache>
                <c:formatCode>General</c:formatCode>
                <c:ptCount val="8"/>
                <c:pt idx="0">
                  <c:v>2157</c:v>
                </c:pt>
                <c:pt idx="1">
                  <c:v>10483</c:v>
                </c:pt>
                <c:pt idx="2">
                  <c:v>17161</c:v>
                </c:pt>
                <c:pt idx="3">
                  <c:v>14176</c:v>
                </c:pt>
                <c:pt idx="4">
                  <c:v>2200</c:v>
                </c:pt>
                <c:pt idx="5">
                  <c:v>11202.5</c:v>
                </c:pt>
              </c:numCache>
            </c:numRef>
          </c:val>
          <c:extLst>
            <c:ext xmlns:c16="http://schemas.microsoft.com/office/drawing/2014/chart" uri="{C3380CC4-5D6E-409C-BE32-E72D297353CC}">
              <c16:uniqueId val="{00000022-4C68-459B-9CED-4D17838A6229}"/>
            </c:ext>
          </c:extLst>
        </c:ser>
        <c:ser>
          <c:idx val="10"/>
          <c:order val="10"/>
          <c:tx>
            <c:strRef>
              <c:f>'Purpose-Wise Expenses'!$L$3:$L$4</c:f>
              <c:strCache>
                <c:ptCount val="1"/>
                <c:pt idx="0">
                  <c:v>ud gaye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Expenses'!$L$5:$L$13</c:f>
              <c:numCache>
                <c:formatCode>General</c:formatCode>
                <c:ptCount val="8"/>
                <c:pt idx="1">
                  <c:v>300</c:v>
                </c:pt>
                <c:pt idx="2">
                  <c:v>2034</c:v>
                </c:pt>
                <c:pt idx="3">
                  <c:v>1370</c:v>
                </c:pt>
              </c:numCache>
            </c:numRef>
          </c:val>
          <c:extLst>
            <c:ext xmlns:c16="http://schemas.microsoft.com/office/drawing/2014/chart" uri="{C3380CC4-5D6E-409C-BE32-E72D297353CC}">
              <c16:uniqueId val="{00000000-435F-4E73-81CC-88C3B21E1891}"/>
            </c:ext>
          </c:extLst>
        </c:ser>
        <c:dLbls>
          <c:showLegendKey val="0"/>
          <c:showVal val="0"/>
          <c:showCatName val="0"/>
          <c:showSerName val="0"/>
          <c:showPercent val="0"/>
          <c:showBubbleSize val="0"/>
        </c:dLbls>
        <c:gapWidth val="150"/>
        <c:overlap val="100"/>
        <c:axId val="1288101936"/>
        <c:axId val="1288102416"/>
      </c:barChart>
      <c:catAx>
        <c:axId val="128810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2416"/>
        <c:crosses val="autoZero"/>
        <c:auto val="1"/>
        <c:lblAlgn val="ctr"/>
        <c:lblOffset val="100"/>
        <c:noMultiLvlLbl val="0"/>
      </c:catAx>
      <c:valAx>
        <c:axId val="128810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Purpose-Wise Expenses!PivotTable1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Purpose-Wise Expenses'!$B$1:$B$2</c:f>
              <c:strCache>
                <c:ptCount val="1"/>
                <c:pt idx="0">
                  <c:v>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Expenses'!$B$3:$B$17</c:f>
              <c:numCache>
                <c:formatCode>General</c:formatCode>
                <c:ptCount val="10"/>
                <c:pt idx="0">
                  <c:v>729</c:v>
                </c:pt>
                <c:pt idx="1">
                  <c:v>149.66666666666666</c:v>
                </c:pt>
                <c:pt idx="3">
                  <c:v>204</c:v>
                </c:pt>
                <c:pt idx="4">
                  <c:v>312</c:v>
                </c:pt>
                <c:pt idx="6">
                  <c:v>90</c:v>
                </c:pt>
                <c:pt idx="7">
                  <c:v>811.66666666666674</c:v>
                </c:pt>
              </c:numCache>
            </c:numRef>
          </c:val>
          <c:extLst>
            <c:ext xmlns:c16="http://schemas.microsoft.com/office/drawing/2014/chart" uri="{C3380CC4-5D6E-409C-BE32-E72D297353CC}">
              <c16:uniqueId val="{00000000-A30D-43FB-8B47-38754746A9F2}"/>
            </c:ext>
          </c:extLst>
        </c:ser>
        <c:ser>
          <c:idx val="1"/>
          <c:order val="1"/>
          <c:tx>
            <c:strRef>
              <c:f>'Monthly Purpose-Wise Expenses'!$C$1:$C$2</c:f>
              <c:strCache>
                <c:ptCount val="1"/>
                <c:pt idx="0">
                  <c:v>Going Out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Expenses'!$C$3:$C$17</c:f>
              <c:numCache>
                <c:formatCode>General</c:formatCode>
                <c:ptCount val="10"/>
                <c:pt idx="0">
                  <c:v>328</c:v>
                </c:pt>
                <c:pt idx="2">
                  <c:v>1287</c:v>
                </c:pt>
                <c:pt idx="3">
                  <c:v>647.43000000000006</c:v>
                </c:pt>
                <c:pt idx="5">
                  <c:v>290</c:v>
                </c:pt>
                <c:pt idx="6">
                  <c:v>229</c:v>
                </c:pt>
                <c:pt idx="8">
                  <c:v>915</c:v>
                </c:pt>
                <c:pt idx="9">
                  <c:v>381</c:v>
                </c:pt>
              </c:numCache>
            </c:numRef>
          </c:val>
          <c:extLst>
            <c:ext xmlns:c16="http://schemas.microsoft.com/office/drawing/2014/chart" uri="{C3380CC4-5D6E-409C-BE32-E72D297353CC}">
              <c16:uniqueId val="{00000001-A30D-43FB-8B47-38754746A9F2}"/>
            </c:ext>
          </c:extLst>
        </c:ser>
        <c:ser>
          <c:idx val="2"/>
          <c:order val="2"/>
          <c:tx>
            <c:strRef>
              <c:f>'Monthly Purpose-Wise Expenses'!$D$1:$D$2</c:f>
              <c:strCache>
                <c:ptCount val="1"/>
                <c:pt idx="0">
                  <c:v>Transport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Expenses'!$D$3:$D$17</c:f>
              <c:numCache>
                <c:formatCode>General</c:formatCode>
                <c:ptCount val="10"/>
                <c:pt idx="0">
                  <c:v>69</c:v>
                </c:pt>
                <c:pt idx="1">
                  <c:v>100.66666666666666</c:v>
                </c:pt>
                <c:pt idx="2">
                  <c:v>492</c:v>
                </c:pt>
                <c:pt idx="3">
                  <c:v>197</c:v>
                </c:pt>
                <c:pt idx="5">
                  <c:v>138</c:v>
                </c:pt>
                <c:pt idx="6">
                  <c:v>203</c:v>
                </c:pt>
                <c:pt idx="7">
                  <c:v>45</c:v>
                </c:pt>
                <c:pt idx="8">
                  <c:v>53</c:v>
                </c:pt>
                <c:pt idx="9">
                  <c:v>147</c:v>
                </c:pt>
              </c:numCache>
            </c:numRef>
          </c:val>
          <c:extLst>
            <c:ext xmlns:c16="http://schemas.microsoft.com/office/drawing/2014/chart" uri="{C3380CC4-5D6E-409C-BE32-E72D297353CC}">
              <c16:uniqueId val="{0000000B-A30D-43FB-8B47-38754746A9F2}"/>
            </c:ext>
          </c:extLst>
        </c:ser>
        <c:dLbls>
          <c:showLegendKey val="0"/>
          <c:showVal val="0"/>
          <c:showCatName val="0"/>
          <c:showSerName val="0"/>
          <c:showPercent val="0"/>
          <c:showBubbleSize val="0"/>
        </c:dLbls>
        <c:gapWidth val="150"/>
        <c:overlap val="100"/>
        <c:axId val="1288101936"/>
        <c:axId val="1288102416"/>
      </c:barChart>
      <c:catAx>
        <c:axId val="128810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2416"/>
        <c:crosses val="autoZero"/>
        <c:auto val="1"/>
        <c:lblAlgn val="ctr"/>
        <c:lblOffset val="100"/>
        <c:noMultiLvlLbl val="0"/>
      </c:catAx>
      <c:valAx>
        <c:axId val="128810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Category-Wise Expenses!PivotTable1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a:t>
            </a:r>
            <a:r>
              <a:rPr lang="en-US" baseline="0"/>
              <a:t> Spending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pivotFmt>
      <c:pivotFmt>
        <c:idx val="190"/>
      </c:pivotFmt>
      <c:pivotFmt>
        <c:idx val="1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'Monthly Category-Wise Expenses'!$B$3:$B$4</c:f>
              <c:strCache>
                <c:ptCount val="1"/>
                <c:pt idx="0">
                  <c:v>Investments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Expenses'!$B$5:$B$12</c:f>
              <c:numCache>
                <c:formatCode>General</c:formatCode>
                <c:ptCount val="7"/>
                <c:pt idx="0">
                  <c:v>1000</c:v>
                </c:pt>
                <c:pt idx="1">
                  <c:v>5000</c:v>
                </c:pt>
                <c:pt idx="2">
                  <c:v>15000</c:v>
                </c:pt>
                <c:pt idx="3">
                  <c:v>15000</c:v>
                </c:pt>
                <c:pt idx="4">
                  <c:v>130000</c:v>
                </c:pt>
                <c:pt idx="5">
                  <c:v>35000</c:v>
                </c:pt>
                <c:pt idx="6">
                  <c:v>37000</c:v>
                </c:pt>
              </c:numCache>
            </c:numRef>
          </c:val>
          <c:extLst>
            <c:ext xmlns:c16="http://schemas.microsoft.com/office/drawing/2014/chart" uri="{C3380CC4-5D6E-409C-BE32-E72D297353CC}">
              <c16:uniqueId val="{0000000A-8C9B-49C8-9D19-E9CEA1DE4AB0}"/>
            </c:ext>
          </c:extLst>
        </c:ser>
        <c:ser>
          <c:idx val="1"/>
          <c:order val="1"/>
          <c:tx>
            <c:strRef>
              <c:f>'Monthly Category-Wise Expenses'!$C$3:$C$4</c:f>
              <c:strCache>
                <c:ptCount val="1"/>
                <c:pt idx="0">
                  <c:v>Needs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Expenses'!$C$5:$C$12</c:f>
              <c:numCache>
                <c:formatCode>General</c:formatCode>
                <c:ptCount val="7"/>
                <c:pt idx="0">
                  <c:v>41565.060000000005</c:v>
                </c:pt>
                <c:pt idx="1">
                  <c:v>45927.996666666673</c:v>
                </c:pt>
                <c:pt idx="2">
                  <c:v>29688.993333333332</c:v>
                </c:pt>
                <c:pt idx="3">
                  <c:v>45595</c:v>
                </c:pt>
                <c:pt idx="4">
                  <c:v>27299.666666666668</c:v>
                </c:pt>
                <c:pt idx="5">
                  <c:v>45420.5</c:v>
                </c:pt>
                <c:pt idx="6">
                  <c:v>26785</c:v>
                </c:pt>
              </c:numCache>
            </c:numRef>
          </c:val>
          <c:extLst>
            <c:ext xmlns:c16="http://schemas.microsoft.com/office/drawing/2014/chart" uri="{C3380CC4-5D6E-409C-BE32-E72D297353CC}">
              <c16:uniqueId val="{00000003-B50E-42BA-B61B-27B46E3F419C}"/>
            </c:ext>
          </c:extLst>
        </c:ser>
        <c:ser>
          <c:idx val="2"/>
          <c:order val="2"/>
          <c:tx>
            <c:strRef>
              <c:f>'Monthly Category-Wise Expenses'!$D$3:$D$4</c:f>
              <c:strCache>
                <c:ptCount val="1"/>
                <c:pt idx="0">
                  <c:v>Wants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Expenses'!$D$5:$D$12</c:f>
              <c:numCache>
                <c:formatCode>General</c:formatCode>
                <c:ptCount val="7"/>
                <c:pt idx="0">
                  <c:v>33412.526666666672</c:v>
                </c:pt>
                <c:pt idx="1">
                  <c:v>22521.333333333336</c:v>
                </c:pt>
                <c:pt idx="2">
                  <c:v>81258.213333333333</c:v>
                </c:pt>
                <c:pt idx="3">
                  <c:v>50409.893333333326</c:v>
                </c:pt>
                <c:pt idx="4">
                  <c:v>50466</c:v>
                </c:pt>
                <c:pt idx="5">
                  <c:v>27535.673333333336</c:v>
                </c:pt>
                <c:pt idx="6">
                  <c:v>22265.333333333336</c:v>
                </c:pt>
              </c:numCache>
            </c:numRef>
          </c:val>
          <c:extLst>
            <c:ext xmlns:c16="http://schemas.microsoft.com/office/drawing/2014/chart" uri="{C3380CC4-5D6E-409C-BE32-E72D297353CC}">
              <c16:uniqueId val="{00000004-B50E-42BA-B61B-27B46E3F419C}"/>
            </c:ext>
          </c:extLst>
        </c:ser>
        <c:dLbls>
          <c:showLegendKey val="0"/>
          <c:showVal val="0"/>
          <c:showCatName val="0"/>
          <c:showSerName val="0"/>
          <c:showPercent val="0"/>
          <c:showBubbleSize val="0"/>
        </c:dLbls>
        <c:gapWidth val="100"/>
        <c:overlap val="100"/>
        <c:axId val="1254564112"/>
        <c:axId val="1254542992"/>
      </c:barChart>
      <c:catAx>
        <c:axId val="12545641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542992"/>
        <c:crosses val="autoZero"/>
        <c:auto val="1"/>
        <c:lblAlgn val="ctr"/>
        <c:lblOffset val="100"/>
        <c:noMultiLvlLbl val="0"/>
      </c:catAx>
      <c:valAx>
        <c:axId val="1254542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5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[BudgetAndExpenses.xlsx]Category-Wise Expenses!PivotTable1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a:t>
            </a:r>
            <a:r>
              <a:rPr lang="en-US" baseline="0"/>
              <a:t> Spending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'Category-Wise Expenses'!$B$3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27-4A2D-8DDD-E709682D70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27-4A2D-8DDD-E709682D70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27-4A2D-8DDD-E709682D70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90-4346-BE55-E8BD88C682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6EF-4739-B9A4-05AD88849D12}"/>
              </c:ext>
            </c:extLst>
          </c:dPt>
          <c:cat>
            <c:strRef>
              <c:f>'Category-Wise Expenses'!$A$4:$A$9</c:f>
              <c:strCache>
                <c:ptCount val="5"/>
                <c:pt idx="0">
                  <c:v>Investments</c:v>
                </c:pt>
                <c:pt idx="1">
                  <c:v>Needs</c:v>
                </c:pt>
                <c:pt idx="2">
                  <c:v>Wants</c:v>
                </c:pt>
                <c:pt idx="3">
                  <c:v>(blank)</c:v>
                </c:pt>
                <c:pt idx="4">
                  <c:v>#N/A</c:v>
                </c:pt>
              </c:strCache>
            </c:strRef>
          </c:cat>
          <c:val>
            <c:numRef>
              <c:f>'Category-Wise Expenses'!$B$4:$B$9</c:f>
              <c:numCache>
                <c:formatCode>General</c:formatCode>
                <c:ptCount val="5"/>
                <c:pt idx="0">
                  <c:v>258000</c:v>
                </c:pt>
                <c:pt idx="1">
                  <c:v>287721.8833333333</c:v>
                </c:pt>
                <c:pt idx="2">
                  <c:v>410217.20999999996</c:v>
                </c:pt>
              </c:numCache>
            </c:numRef>
          </c:val>
          <c:extLst>
            <c:ext xmlns:c16="http://schemas.microsoft.com/office/drawing/2014/chart" uri="{C3380CC4-5D6E-409C-BE32-E72D297353CC}">
              <c16:uniqueId val="{00000000-D939-463D-9E37-798950AA2E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[BudgetAndExpenses.xlsx]Sub-Category-Wise Expenses!PivotTable1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Sub-Category</a:t>
            </a:r>
            <a:r>
              <a:rPr lang="en-US" baseline="0"/>
              <a: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'Sub-Category-Wise Expenses'!$B$3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E4-46F1-B361-095160F716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E4-46F1-B361-095160F716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E4-46F1-B361-095160F716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E4-46F1-B361-095160F716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E4-46F1-B361-095160F716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E4-46F1-B361-095160F716F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E4-46F1-B361-095160F716F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DE4-46F1-B361-095160F716F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DE4-46F1-B361-095160F716F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DE4-46F1-B361-095160F716F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DE4-46F1-B361-095160F716F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DE4-46F1-B361-095160F716F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DE4-46F1-B361-095160F716F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DE4-46F1-B361-095160F716F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DE4-46F1-B361-095160F716F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DE4-46F1-B361-095160F716F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DE4-46F1-B361-095160F716F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DE4-46F1-B361-095160F716F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DE4-46F1-B361-095160F716F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DE4-46F1-B361-095160F716FE}"/>
              </c:ext>
            </c:extLst>
          </c:dPt>
          <c:cat>
            <c:strRef>
              <c:f>'Sub-Category-Wise Expenses'!$A$4:$A$18</c:f>
              <c:strCache>
                <c:ptCount val="14"/>
                <c:pt idx="0">
                  <c:v>Admin</c:v>
                </c:pt>
                <c:pt idx="1">
                  <c:v>Food</c:v>
                </c:pt>
                <c:pt idx="2">
                  <c:v>Gifts</c:v>
                </c:pt>
                <c:pt idx="3">
                  <c:v>Going Out</c:v>
                </c:pt>
                <c:pt idx="4">
                  <c:v>Groceries</c:v>
                </c:pt>
                <c:pt idx="5">
                  <c:v>MF</c:v>
                </c:pt>
                <c:pt idx="6">
                  <c:v>Mobile Recharge</c:v>
                </c:pt>
                <c:pt idx="7">
                  <c:v>Office Food</c:v>
                </c:pt>
                <c:pt idx="8">
                  <c:v>Office Transport</c:v>
                </c:pt>
                <c:pt idx="9">
                  <c:v>Rent</c:v>
                </c:pt>
                <c:pt idx="10">
                  <c:v>Streaming Services</c:v>
                </c:pt>
                <c:pt idx="11">
                  <c:v>Transport</c:v>
                </c:pt>
                <c:pt idx="12">
                  <c:v>Travel</c:v>
                </c:pt>
                <c:pt idx="13">
                  <c:v>ud gaye</c:v>
                </c:pt>
              </c:strCache>
            </c:strRef>
          </c:cat>
          <c:val>
            <c:numRef>
              <c:f>'Sub-Category-Wise Expenses'!$B$4:$B$18</c:f>
              <c:numCache>
                <c:formatCode>General</c:formatCode>
                <c:ptCount val="14"/>
                <c:pt idx="0">
                  <c:v>150</c:v>
                </c:pt>
                <c:pt idx="1">
                  <c:v>13315.333333333334</c:v>
                </c:pt>
                <c:pt idx="2">
                  <c:v>5375</c:v>
                </c:pt>
                <c:pt idx="3">
                  <c:v>5373.34</c:v>
                </c:pt>
                <c:pt idx="4">
                  <c:v>2732.666666666667</c:v>
                </c:pt>
                <c:pt idx="5">
                  <c:v>35000</c:v>
                </c:pt>
                <c:pt idx="6">
                  <c:v>534</c:v>
                </c:pt>
                <c:pt idx="7">
                  <c:v>2424</c:v>
                </c:pt>
                <c:pt idx="8">
                  <c:v>885</c:v>
                </c:pt>
                <c:pt idx="9">
                  <c:v>20666.666666666668</c:v>
                </c:pt>
                <c:pt idx="10">
                  <c:v>148</c:v>
                </c:pt>
                <c:pt idx="11">
                  <c:v>340</c:v>
                </c:pt>
                <c:pt idx="12">
                  <c:v>18028.166666666668</c:v>
                </c:pt>
                <c:pt idx="13">
                  <c:v>2984</c:v>
                </c:pt>
              </c:numCache>
            </c:numRef>
          </c:val>
          <c:extLst>
            <c:ext xmlns:c16="http://schemas.microsoft.com/office/drawing/2014/chart" uri="{C3380CC4-5D6E-409C-BE32-E72D297353CC}">
              <c16:uniqueId val="{00000000-D1E2-4D2F-B598-6DF74EB2BA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567146863556594"/>
          <c:y val="6.1680064028952236E-2"/>
          <c:w val="0.17490894710928165"/>
          <c:h val="0.86930021390241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Yearly Budget</cx:v>
        </cx:txData>
      </cx:tx>
      <cx:txPr>
        <a:bodyPr spcFirstLastPara="1" vertOverflow="ellipsis" horzOverflow="overflow" wrap="square" lIns="0" tIns="0" rIns="0" bIns="0" anchor="ctr" anchorCtr="1"/>
        <a:lstStyle/>
        <a:p>
          <a:pPr algn="ctr" rtl="0">
            <a:defRPr baseline="0">
              <a:solidFill>
                <a:schemeClr val="bg1"/>
              </a:solidFill>
            </a:defRPr>
          </a:pPr>
          <a:r>
            <a:rPr lang="en-US" sz="1400" b="0" i="0" u="none" strike="noStrike" baseline="0">
              <a:solidFill>
                <a:schemeClr val="bg1"/>
              </a:solidFill>
              <a:latin typeface="Calibri" panose="020F0502020204030204"/>
            </a:rPr>
            <a:t>Yearly Budget</a:t>
          </a:r>
        </a:p>
      </cx:txPr>
    </cx:title>
    <cx:plotArea>
      <cx:plotAreaRegion>
        <cx:series layoutId="treemap" uniqueId="{D72ABC2B-DE9D-47D8-8700-A71DA519728E}">
          <cx:tx>
            <cx:txData>
              <cx:f>_xlchart.v1.1</cx:f>
              <cx:v>Amount</cx:v>
            </cx:txData>
          </cx:tx>
          <cx:dataLabels pos="inEnd">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167640</xdr:colOff>
      <xdr:row>0</xdr:row>
      <xdr:rowOff>114300</xdr:rowOff>
    </xdr:from>
    <xdr:to>
      <xdr:col>17</xdr:col>
      <xdr:colOff>259080</xdr:colOff>
      <xdr:row>26</xdr:row>
      <xdr:rowOff>99060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1A027D-613F-E573-A011-74DBB03234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9940" y="114300"/>
              <a:ext cx="8625840" cy="4792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190120</xdr:colOff>
      <xdr:row>23</xdr:row>
      <xdr:rowOff>122861</xdr:rowOff>
    </xdr:from>
    <xdr:to>
      <xdr:col>22</xdr:col>
      <xdr:colOff>212202</xdr:colOff>
      <xdr:row>52</xdr:row>
      <xdr:rowOff>74173</xdr:rowOff>
    </xdr:to>
    <xdr:graphicFrame macro="">
      <xdr:nvGraphicFramePr>
        <xdr:cNvPr id="2" name="Chart 1">
          <a:extLst>
            <a:ext uri="{FF2B5EF4-FFF2-40B4-BE49-F238E27FC236}">
              <a16:creationId xmlns:a16="http://schemas.microsoft.com/office/drawing/2014/main" id="{7AF9CC97-9B32-4A9C-993E-2DA201DB7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124366</xdr:colOff>
      <xdr:row>23</xdr:row>
      <xdr:rowOff>155997</xdr:rowOff>
    </xdr:from>
    <xdr:to>
      <xdr:col>2</xdr:col>
      <xdr:colOff>616832</xdr:colOff>
      <xdr:row>31</xdr:row>
      <xdr:rowOff>86328</xdr:rowOff>
    </xdr:to>
    <mc:AlternateContent xmlns:mc="http://schemas.openxmlformats.org/markup-compatibility/2006" xmlns:tsle="http://schemas.microsoft.com/office/drawing/2012/timeslicer">
      <mc:Choice Requires="tsle">
        <xdr:graphicFrame macro="">
          <xdr:nvGraphicFramePr>
            <xdr:cNvPr id="3" name="Date 4">
              <a:extLst>
                <a:ext uri="{FF2B5EF4-FFF2-40B4-BE49-F238E27FC236}">
                  <a16:creationId xmlns:a16="http://schemas.microsoft.com/office/drawing/2014/main" id="{CC4AD237-4EA1-4DF9-833F-5616105CA361}"/>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24366" y="4371111"/>
              <a:ext cx="2624137" cy="1396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87871</xdr:colOff>
      <xdr:row>40</xdr:row>
      <xdr:rowOff>51795</xdr:rowOff>
    </xdr:from>
    <xdr:to>
      <xdr:col>2</xdr:col>
      <xdr:colOff>599568</xdr:colOff>
      <xdr:row>53</xdr:row>
      <xdr:rowOff>74654</xdr:rowOff>
    </xdr:to>
    <mc:AlternateContent xmlns:mc="http://schemas.openxmlformats.org/markup-compatibility/2006" xmlns:a14="http://schemas.microsoft.com/office/drawing/2010/main">
      <mc:Choice Requires="a14">
        <xdr:graphicFrame macro="">
          <xdr:nvGraphicFramePr>
            <xdr:cNvPr id="4" name="Sub-Category 2">
              <a:extLst>
                <a:ext uri="{FF2B5EF4-FFF2-40B4-BE49-F238E27FC236}">
                  <a16:creationId xmlns:a16="http://schemas.microsoft.com/office/drawing/2014/main" id="{A98959E8-3614-40AC-A015-B44F0E58E51B}"/>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87871" y="7382428"/>
              <a:ext cx="2643368" cy="2405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103110</xdr:colOff>
      <xdr:row>32</xdr:row>
      <xdr:rowOff>52860</xdr:rowOff>
    </xdr:from>
    <xdr:to>
      <xdr:col>2</xdr:col>
      <xdr:colOff>637667</xdr:colOff>
      <xdr:row>39</xdr:row>
      <xdr:rowOff>83340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EC7E8407-F502-FC9C-C165-F4C05675B4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110" y="5917366"/>
              <a:ext cx="2666228" cy="1313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155273</xdr:colOff>
      <xdr:row>39</xdr:row>
      <xdr:rowOff>29153</xdr:rowOff>
    </xdr:from>
    <xdr:to>
      <xdr:col>20</xdr:col>
      <xdr:colOff>64397</xdr:colOff>
      <xdr:row>70</xdr:row>
      <xdr:rowOff>7278</xdr:rowOff>
    </xdr:to>
    <xdr:graphicFrame macro="">
      <xdr:nvGraphicFramePr>
        <xdr:cNvPr id="2" name="Chart 1">
          <a:extLst>
            <a:ext uri="{FF2B5EF4-FFF2-40B4-BE49-F238E27FC236}">
              <a16:creationId xmlns:a16="http://schemas.microsoft.com/office/drawing/2014/main" id="{4FF54360-9905-4C4E-B1FE-E40D4CD19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190076</xdr:colOff>
      <xdr:row>38</xdr:row>
      <xdr:rowOff>171543</xdr:rowOff>
    </xdr:from>
    <xdr:to>
      <xdr:col>2</xdr:col>
      <xdr:colOff>681978</xdr:colOff>
      <xdr:row>45</xdr:row>
      <xdr:rowOff>179403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0AA493B-ACA3-4942-87D9-E0765F3834B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0076" y="7148892"/>
              <a:ext cx="2594288" cy="12931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229519</xdr:colOff>
      <xdr:row>54</xdr:row>
      <xdr:rowOff>26048</xdr:rowOff>
    </xdr:from>
    <xdr:to>
      <xdr:col>3</xdr:col>
      <xdr:colOff>48711</xdr:colOff>
      <xdr:row>71</xdr:row>
      <xdr:rowOff>646</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649FD1A9-27DB-A77A-E5B1-1D2A64FD13C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29519" y="9941229"/>
              <a:ext cx="2610132" cy="3096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195997</xdr:colOff>
      <xdr:row>46</xdr:row>
      <xdr:rowOff>170997</xdr:rowOff>
    </xdr:from>
    <xdr:to>
      <xdr:col>3</xdr:col>
      <xdr:colOff>16884</xdr:colOff>
      <xdr:row>53</xdr:row>
      <xdr:rowOff>34514</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8651E0B5-7154-6751-6A64-0EB64B25D98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5997" y="8617262"/>
              <a:ext cx="2611827" cy="1148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11</xdr:row>
      <xdr:rowOff>121920</xdr:rowOff>
    </xdr:from>
    <xdr:to>
      <xdr:col>17</xdr:col>
      <xdr:colOff>777240</xdr:colOff>
      <xdr:row>37</xdr:row>
      <xdr:rowOff>38100</xdr:rowOff>
    </xdr:to>
    <xdr:graphicFrame macro="">
      <xdr:nvGraphicFramePr>
        <xdr:cNvPr id="2" name="Chart 1">
          <a:extLst>
            <a:ext uri="{FF2B5EF4-FFF2-40B4-BE49-F238E27FC236}">
              <a16:creationId xmlns:a16="http://schemas.microsoft.com/office/drawing/2014/main" id="{37966A2A-0AA6-543C-DEAA-086360817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23</xdr:row>
      <xdr:rowOff>182881</xdr:rowOff>
    </xdr:from>
    <xdr:to>
      <xdr:col>1</xdr:col>
      <xdr:colOff>643467</xdr:colOff>
      <xdr:row>37</xdr:row>
      <xdr:rowOff>86149</xdr:rowOff>
    </xdr:to>
    <mc:AlternateContent xmlns:mc="http://schemas.openxmlformats.org/markup-compatibility/2006" xmlns:a14="http://schemas.microsoft.com/office/drawing/2010/main">
      <mc:Choice Requires="a14">
        <xdr:graphicFrame macro="">
          <xdr:nvGraphicFramePr>
            <xdr:cNvPr id="3" name="Sub-Category 3">
              <a:extLst>
                <a:ext uri="{FF2B5EF4-FFF2-40B4-BE49-F238E27FC236}">
                  <a16:creationId xmlns:a16="http://schemas.microsoft.com/office/drawing/2014/main" id="{25E9CA9B-C52D-105E-FE1D-2AD249B4E2EA}"/>
                </a:ext>
              </a:extLst>
            </xdr:cNvPr>
            <xdr:cNvGraphicFramePr/>
          </xdr:nvGraphicFramePr>
          <xdr:xfrm>
            <a:off x="0" y="0"/>
            <a:ext cx="0" cy="0"/>
          </xdr:xfrm>
          <a:graphic>
            <a:graphicData uri="http://schemas.microsoft.com/office/drawing/2010/slicer">
              <sle:slicer xmlns:sle="http://schemas.microsoft.com/office/drawing/2010/slicer" name="Sub-Category 3"/>
            </a:graphicData>
          </a:graphic>
        </xdr:graphicFrame>
      </mc:Choice>
      <mc:Fallback xmlns="">
        <xdr:sp macro="" textlink="">
          <xdr:nvSpPr>
            <xdr:cNvPr id="0" name=""/>
            <xdr:cNvSpPr>
              <a:spLocks noTextEdit="1"/>
            </xdr:cNvSpPr>
          </xdr:nvSpPr>
          <xdr:spPr>
            <a:xfrm>
              <a:off x="152400" y="4467014"/>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159172</xdr:colOff>
      <xdr:row>11</xdr:row>
      <xdr:rowOff>121075</xdr:rowOff>
    </xdr:from>
    <xdr:to>
      <xdr:col>1</xdr:col>
      <xdr:colOff>719666</xdr:colOff>
      <xdr:row>23</xdr:row>
      <xdr:rowOff>16935</xdr:rowOff>
    </xdr:to>
    <mc:AlternateContent xmlns:mc="http://schemas.openxmlformats.org/markup-compatibility/2006" xmlns:a14="http://schemas.microsoft.com/office/drawing/2010/main">
      <mc:Choice Requires="a14">
        <xdr:graphicFrame macro="">
          <xdr:nvGraphicFramePr>
            <xdr:cNvPr id="4" name="Purpose">
              <a:extLst>
                <a:ext uri="{FF2B5EF4-FFF2-40B4-BE49-F238E27FC236}">
                  <a16:creationId xmlns:a16="http://schemas.microsoft.com/office/drawing/2014/main" id="{36282751-5797-1D24-066E-893744A94328}"/>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159172" y="2170008"/>
              <a:ext cx="1898227" cy="213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161109</xdr:colOff>
      <xdr:row>0</xdr:row>
      <xdr:rowOff>148530</xdr:rowOff>
    </xdr:from>
    <xdr:to>
      <xdr:col>22</xdr:col>
      <xdr:colOff>505098</xdr:colOff>
      <xdr:row>26</xdr:row>
      <xdr:rowOff>64709</xdr:rowOff>
    </xdr:to>
    <xdr:graphicFrame macro="">
      <xdr:nvGraphicFramePr>
        <xdr:cNvPr id="2" name="Chart 1">
          <a:extLst>
            <a:ext uri="{FF2B5EF4-FFF2-40B4-BE49-F238E27FC236}">
              <a16:creationId xmlns:a16="http://schemas.microsoft.com/office/drawing/2014/main" id="{7A1D7108-50D4-48A2-B756-E30F62084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29029</xdr:colOff>
      <xdr:row>18</xdr:row>
      <xdr:rowOff>35318</xdr:rowOff>
    </xdr:from>
    <xdr:to>
      <xdr:col>4</xdr:col>
      <xdr:colOff>281489</xdr:colOff>
      <xdr:row>31</xdr:row>
      <xdr:rowOff>124854</xdr:rowOff>
    </xdr:to>
    <mc:AlternateContent xmlns:mc="http://schemas.openxmlformats.org/markup-compatibility/2006" xmlns:a14="http://schemas.microsoft.com/office/drawing/2010/main">
      <mc:Choice Requires="a14">
        <xdr:graphicFrame macro="">
          <xdr:nvGraphicFramePr>
            <xdr:cNvPr id="3" name="Sub-Category 4">
              <a:extLst>
                <a:ext uri="{FF2B5EF4-FFF2-40B4-BE49-F238E27FC236}">
                  <a16:creationId xmlns:a16="http://schemas.microsoft.com/office/drawing/2014/main" id="{A7776A7E-0698-4219-BFF7-D1CAADC0CA61}"/>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mlns="">
        <xdr:sp macro="" textlink="">
          <xdr:nvSpPr>
            <xdr:cNvPr id="0" name=""/>
            <xdr:cNvSpPr>
              <a:spLocks noTextEdit="1"/>
            </xdr:cNvSpPr>
          </xdr:nvSpPr>
          <xdr:spPr>
            <a:xfrm>
              <a:off x="2206172" y="3366347"/>
              <a:ext cx="1841774"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75715</xdr:colOff>
      <xdr:row>17</xdr:row>
      <xdr:rowOff>148894</xdr:rowOff>
    </xdr:from>
    <xdr:to>
      <xdr:col>1</xdr:col>
      <xdr:colOff>963659</xdr:colOff>
      <xdr:row>29</xdr:row>
      <xdr:rowOff>44753</xdr:rowOff>
    </xdr:to>
    <mc:AlternateContent xmlns:mc="http://schemas.openxmlformats.org/markup-compatibility/2006" xmlns:a14="http://schemas.microsoft.com/office/drawing/2010/main">
      <mc:Choice Requires="a14">
        <xdr:graphicFrame macro="">
          <xdr:nvGraphicFramePr>
            <xdr:cNvPr id="4" name="Purpose 1">
              <a:extLst>
                <a:ext uri="{FF2B5EF4-FFF2-40B4-BE49-F238E27FC236}">
                  <a16:creationId xmlns:a16="http://schemas.microsoft.com/office/drawing/2014/main" id="{814E5D41-B4C8-4D58-9871-B8AD1A265D9D}"/>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75715" y="3294865"/>
              <a:ext cx="1911201" cy="211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112707</xdr:colOff>
      <xdr:row>1</xdr:row>
      <xdr:rowOff>110520</xdr:rowOff>
    </xdr:from>
    <xdr:to>
      <xdr:col>35</xdr:col>
      <xdr:colOff>13853</xdr:colOff>
      <xdr:row>25</xdr:row>
      <xdr:rowOff>96983</xdr:rowOff>
    </xdr:to>
    <xdr:graphicFrame macro="">
      <xdr:nvGraphicFramePr>
        <xdr:cNvPr id="2" name="Chart 1">
          <a:extLst>
            <a:ext uri="{FF2B5EF4-FFF2-40B4-BE49-F238E27FC236}">
              <a16:creationId xmlns:a16="http://schemas.microsoft.com/office/drawing/2014/main" id="{1625A71B-8052-4A38-BC07-A9C1D6B4E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146164</xdr:colOff>
      <xdr:row>12</xdr:row>
      <xdr:rowOff>120535</xdr:rowOff>
    </xdr:from>
    <xdr:to>
      <xdr:col>1</xdr:col>
      <xdr:colOff>997526</xdr:colOff>
      <xdr:row>21</xdr:row>
      <xdr:rowOff>34637</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0446CA95-83F0-4184-AA8B-FEAB341B7F77}"/>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146164" y="2281844"/>
              <a:ext cx="1841962" cy="1535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138546</xdr:colOff>
      <xdr:row>21</xdr:row>
      <xdr:rowOff>67859</xdr:rowOff>
    </xdr:from>
    <xdr:to>
      <xdr:col>3</xdr:col>
      <xdr:colOff>598082</xdr:colOff>
      <xdr:row>28</xdr:row>
      <xdr:rowOff>157098</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4B5F0604-AC75-4A44-AE5A-E2FDC344023B}"/>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38546" y="3850150"/>
              <a:ext cx="3341281" cy="13500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230471</xdr:colOff>
      <xdr:row>1</xdr:row>
      <xdr:rowOff>20464</xdr:rowOff>
    </xdr:from>
    <xdr:to>
      <xdr:col>23</xdr:col>
      <xdr:colOff>124691</xdr:colOff>
      <xdr:row>25</xdr:row>
      <xdr:rowOff>6927</xdr:rowOff>
    </xdr:to>
    <xdr:graphicFrame macro="">
      <xdr:nvGraphicFramePr>
        <xdr:cNvPr id="2" name="Chart 1">
          <a:extLst>
            <a:ext uri="{FF2B5EF4-FFF2-40B4-BE49-F238E27FC236}">
              <a16:creationId xmlns:a16="http://schemas.microsoft.com/office/drawing/2014/main" id="{50C2012A-CBAC-4243-B904-024872F5B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21474</xdr:colOff>
      <xdr:row>9</xdr:row>
      <xdr:rowOff>72044</xdr:rowOff>
    </xdr:from>
    <xdr:to>
      <xdr:col>2</xdr:col>
      <xdr:colOff>13854</xdr:colOff>
      <xdr:row>17</xdr:row>
      <xdr:rowOff>166255</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102443F6-6596-413C-8F07-8243ADABABD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1474" y="1693026"/>
              <a:ext cx="1841962" cy="1535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5514</xdr:rowOff>
    </xdr:from>
    <xdr:to>
      <xdr:col>4</xdr:col>
      <xdr:colOff>50826</xdr:colOff>
      <xdr:row>26</xdr:row>
      <xdr:rowOff>94754</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5B62B554-4A2A-4EDF-ADA4-ADF85D93D95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0" y="3427587"/>
              <a:ext cx="3341281" cy="13500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109284</xdr:rowOff>
    </xdr:from>
    <xdr:to>
      <xdr:col>18</xdr:col>
      <xdr:colOff>289560</xdr:colOff>
      <xdr:row>27</xdr:row>
      <xdr:rowOff>175260</xdr:rowOff>
    </xdr:to>
    <xdr:graphicFrame macro="">
      <xdr:nvGraphicFramePr>
        <xdr:cNvPr id="2" name="Chart 1">
          <a:extLst>
            <a:ext uri="{FF2B5EF4-FFF2-40B4-BE49-F238E27FC236}">
              <a16:creationId xmlns:a16="http://schemas.microsoft.com/office/drawing/2014/main" id="{C211665E-7DEB-42FD-9188-322A7A2BF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182879</xdr:colOff>
      <xdr:row>20</xdr:row>
      <xdr:rowOff>129540</xdr:rowOff>
    </xdr:from>
    <xdr:to>
      <xdr:col>6</xdr:col>
      <xdr:colOff>662940</xdr:colOff>
      <xdr:row>28</xdr:row>
      <xdr:rowOff>58420</xdr:rowOff>
    </xdr:to>
    <mc:AlternateContent xmlns:mc="http://schemas.openxmlformats.org/markup-compatibility/2006" xmlns:tsle="http://schemas.microsoft.com/office/drawing/2012/timeslicer">
      <mc:Choice Requires="tsle">
        <xdr:graphicFrame macro="">
          <xdr:nvGraphicFramePr>
            <xdr:cNvPr id="3" name="Date 3">
              <a:extLst>
                <a:ext uri="{FF2B5EF4-FFF2-40B4-BE49-F238E27FC236}">
                  <a16:creationId xmlns:a16="http://schemas.microsoft.com/office/drawing/2014/main" id="{D0EDCC02-0AAA-421E-B283-11CD7352AAD4}"/>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85999" y="3806008"/>
              <a:ext cx="2842261" cy="13730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188686</xdr:colOff>
      <xdr:row>7</xdr:row>
      <xdr:rowOff>167640</xdr:rowOff>
    </xdr:from>
    <xdr:to>
      <xdr:col>6</xdr:col>
      <xdr:colOff>662940</xdr:colOff>
      <xdr:row>20</xdr:row>
      <xdr:rowOff>68580</xdr:rowOff>
    </xdr:to>
    <mc:AlternateContent xmlns:mc="http://schemas.openxmlformats.org/markup-compatibility/2006" xmlns:a14="http://schemas.microsoft.com/office/drawing/2010/main">
      <mc:Choice Requires="a14">
        <xdr:graphicFrame macro="">
          <xdr:nvGraphicFramePr>
            <xdr:cNvPr id="4" name="Sub-Category 1">
              <a:extLst>
                <a:ext uri="{FF2B5EF4-FFF2-40B4-BE49-F238E27FC236}">
                  <a16:creationId xmlns:a16="http://schemas.microsoft.com/office/drawing/2014/main" id="{98DD34C2-A5E1-4D77-94EB-85C2ACAA76F7}"/>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291806" y="307340"/>
              <a:ext cx="2836454" cy="341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144780</xdr:colOff>
      <xdr:row>0</xdr:row>
      <xdr:rowOff>167640</xdr:rowOff>
    </xdr:from>
    <xdr:to>
      <xdr:col>6</xdr:col>
      <xdr:colOff>693420</xdr:colOff>
      <xdr:row>7</xdr:row>
      <xdr:rowOff>83819</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95F3A0CA-F5F5-72A9-238B-D16B7A81551B}"/>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247900" y="167640"/>
              <a:ext cx="29108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h Anand Paatni" refreshedDate="45691.844390509257" createdVersion="8" refreshedVersion="8" minRefreshableVersion="3" recordCount="763" xr:uid="{EF87E6AA-003F-4A44-A541-9ECF153632F3}">
  <cacheSource type="worksheet">
    <worksheetSource ref="A1:H1048576" sheet="Expenses"/>
  </cacheSource>
  <cacheFields count="8">
    <cacheField name="Month" numFmtId="0">
      <sharedItems containsBlank="1" count="14">
        <s v="2024 08 (Aug)"/>
        <s v="2024 09 (Sep)"/>
        <s v="2024 10 (Oct)"/>
        <s v="2024 11 (Nov)"/>
        <s v="2024 12 (Dec)"/>
        <s v="2025 01 (Jan)"/>
        <s v="2025 02 (Feb)"/>
        <m/>
        <s v="08 (Aug)" u="1"/>
        <s v="09 (Sep)" u="1"/>
        <s v="10 (Oct)" u="1"/>
        <s v="11 (Nov)" u="1"/>
        <s v="12 (Dec)" u="1"/>
        <s v="01 (Jan)" u="1"/>
      </sharedItems>
    </cacheField>
    <cacheField name="Date" numFmtId="0">
      <sharedItems containsNonDate="0" containsDate="1" containsString="0" containsBlank="1" minDate="2024-08-01T00:00:00" maxDate="2025-02-04T00:00:00"/>
    </cacheField>
    <cacheField name="Day" numFmtId="0">
      <sharedItems containsBlank="1"/>
    </cacheField>
    <cacheField name="Item" numFmtId="0">
      <sharedItems containsBlank="1"/>
    </cacheField>
    <cacheField name="Amount" numFmtId="0">
      <sharedItems containsString="0" containsBlank="1" containsNumber="1" minValue="16" maxValue="60000"/>
    </cacheField>
    <cacheField name="Category" numFmtId="0">
      <sharedItems containsBlank="1"/>
    </cacheField>
    <cacheField name="Sub-Category" numFmtId="0">
      <sharedItems containsBlank="1" count="22">
        <s v="Travel"/>
        <s v="Rent"/>
        <s v="Gifts"/>
        <s v="Clothes"/>
        <s v="Transport"/>
        <s v="Food"/>
        <s v="Groceries"/>
        <s v="Unsure"/>
        <s v="Streaming Services"/>
        <s v="ud gaye"/>
        <s v="Going Out"/>
        <s v="Admin"/>
        <s v="Office Food"/>
        <s v="MF"/>
        <s v="Mobile Recharge"/>
        <s v="Office Transport"/>
        <s v="Stocks"/>
        <s v="Home"/>
        <s v="Cleaner"/>
        <s v="PPF"/>
        <s v="Cook"/>
        <m/>
      </sharedItems>
    </cacheField>
    <cacheField name="Purpose" numFmtId="0">
      <sharedItems containsBlank="1" count="13">
        <s v="Chandigarh Trip"/>
        <m/>
        <s v="Convocation"/>
        <s v="Movies"/>
        <s v="Diwali"/>
        <s v="Vizag Trip"/>
        <s v="Badminton"/>
        <s v="Lko/Delhi Trip"/>
        <s v="Avara Log"/>
        <s v="Kerala Trip 4/25"/>
        <s v="Ed Sheeran Concert"/>
        <s v="Numaish with Kushal"/>
        <s v="Kerala Trip" u="1"/>
      </sharedItems>
    </cacheField>
  </cacheFields>
  <extLst>
    <ext xmlns:x14="http://schemas.microsoft.com/office/spreadsheetml/2009/9/main" uri="{725AE2AE-9491-48be-B2B4-4EB974FC3084}">
      <x14:pivotCacheDefinition pivotCacheId="169274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h Anand Paatni" refreshedDate="45745.461401851855" createdVersion="8" refreshedVersion="8" minRefreshableVersion="3" recordCount="1719" xr:uid="{D7614F76-E377-4ACB-91EE-BD85298F36E7}">
  <cacheSource type="worksheet">
    <worksheetSource ref="A1:G1048576" sheet="Expenses"/>
  </cacheSource>
  <cacheFields count="7">
    <cacheField name="Month" numFmtId="0">
      <sharedItems containsBlank="1" count="16">
        <s v="2024 08 (Aug)"/>
        <s v="2024 09 (Sep)"/>
        <s v="2024 10 (Oct)"/>
        <s v="2024 11 (Nov)"/>
        <s v="2024 12 (Dec)"/>
        <s v="2025 01 (Jan)"/>
        <s v="2025 02 (Feb)"/>
        <s v="2025 03 (Mar)"/>
        <s v="1900 01 (Jan)"/>
        <m/>
        <s v="08 (Aug)" u="1"/>
        <s v="09 (Sep)" u="1"/>
        <s v="10 (Oct)" u="1"/>
        <s v="11 (Nov)" u="1"/>
        <s v="12 (Dec)" u="1"/>
        <s v="01 (Jan)" u="1"/>
      </sharedItems>
    </cacheField>
    <cacheField name="Date" numFmtId="0">
      <sharedItems containsNonDate="0" containsDate="1" containsString="0" containsBlank="1" minDate="2024-08-01T00:00:00" maxDate="2025-03-31T00:00:00" count="231">
        <d v="2024-08-01T00:00:00"/>
        <d v="2024-08-02T00:00:00"/>
        <d v="2024-08-03T00:00:00"/>
        <d v="2024-08-04T00:00:00"/>
        <d v="2024-08-05T00:00:00"/>
        <d v="2024-08-06T00:00:00"/>
        <d v="2024-08-07T00:00:00"/>
        <d v="2024-08-08T00:00:00"/>
        <d v="2024-08-09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5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6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1T00:00:00"/>
        <d v="2025-02-12T00:00:00"/>
        <d v="2025-02-13T00:00:00"/>
        <d v="2025-02-14T00:00:00"/>
        <d v="2025-02-15T00:00:00"/>
        <d v="2025-02-16T00:00:00"/>
        <d v="2025-02-17T00:00:00"/>
        <d v="2025-02-18T00:00:00"/>
        <d v="2025-02-19T00:00:00"/>
        <d v="2025-02-20T00:00:00"/>
        <d v="2025-02-21T00:00:00"/>
        <d v="2025-02-23T00:00:00"/>
        <d v="2025-02-24T00:00:00"/>
        <d v="2025-02-25T00:00:00"/>
        <d v="2025-02-26T00:00:00"/>
        <d v="2025-02-27T00:00:00"/>
        <d v="2025-02-28T00:00:00"/>
        <d v="2025-03-01T00:00:00"/>
        <d v="2025-03-02T00:00:00"/>
        <d v="2025-03-03T00:00:00"/>
        <d v="2025-03-05T00:00:00"/>
        <d v="2025-03-06T00:00:00"/>
        <d v="2025-03-07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m/>
      </sharedItems>
    </cacheField>
    <cacheField name="Day" numFmtId="0">
      <sharedItems containsBlank="1"/>
    </cacheField>
    <cacheField name="Item" numFmtId="0">
      <sharedItems containsBlank="1"/>
    </cacheField>
    <cacheField name="Amount" numFmtId="0">
      <sharedItems containsString="0" containsBlank="1" containsNumber="1" minValue="10" maxValue="96834"/>
    </cacheField>
    <cacheField name="Category" numFmtId="0">
      <sharedItems containsBlank="1" count="5">
        <s v="Needs"/>
        <s v="Wants"/>
        <s v="Investments"/>
        <e v="#N/A"/>
        <m/>
      </sharedItems>
    </cacheField>
    <cacheField name="Sub-Category" numFmtId="0">
      <sharedItems containsBlank="1" count="22">
        <s v="Travel"/>
        <s v="Rent"/>
        <s v="Gifts"/>
        <s v="Clothes"/>
        <s v="Transport"/>
        <s v="Food"/>
        <s v="Groceries"/>
        <s v="Unsure"/>
        <s v="Streaming Services"/>
        <s v="ud gaye"/>
        <s v="Going Out"/>
        <s v="Admin"/>
        <s v="Office Food"/>
        <s v="MF"/>
        <s v="Mobile Recharge"/>
        <s v="Office Transport"/>
        <s v="Stocks"/>
        <s v="Home"/>
        <s v="Cleaner"/>
        <s v="PPF"/>
        <s v="Cook"/>
        <m/>
      </sharedItems>
    </cacheField>
  </cacheFields>
  <extLst>
    <ext xmlns:x14="http://schemas.microsoft.com/office/spreadsheetml/2009/9/main" uri="{725AE2AE-9491-48be-B2B4-4EB974FC3084}">
      <x14:pivotCacheDefinition pivotCacheId="189857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x v="0"/>
    <d v="2024-08-01T00:00:00"/>
    <s v="Thursday"/>
    <s v="Tickets"/>
    <n v="2137"/>
    <s v="Needs"/>
    <x v="0"/>
    <x v="0"/>
  </r>
  <r>
    <x v="0"/>
    <d v="2024-08-01T00:00:00"/>
    <s v="Thursday"/>
    <s v="Lko platform ticket"/>
    <n v="20"/>
    <s v="Needs"/>
    <x v="0"/>
    <x v="0"/>
  </r>
  <r>
    <x v="0"/>
    <d v="2024-08-02T00:00:00"/>
    <s v="Friday"/>
    <s v="Rent + Maintainence"/>
    <n v="20734"/>
    <s v="Needs"/>
    <x v="1"/>
    <x v="1"/>
  </r>
  <r>
    <x v="0"/>
    <d v="2024-08-02T00:00:00"/>
    <s v="Friday"/>
    <s v="Clothes for garv/shlok/neeraj da"/>
    <n v="3418.0549999999998"/>
    <s v="Wants"/>
    <x v="2"/>
    <x v="0"/>
  </r>
  <r>
    <x v="0"/>
    <d v="2024-08-02T00:00:00"/>
    <s v="Friday"/>
    <s v="Clothes"/>
    <n v="3418.0549999999998"/>
    <s v="Wants"/>
    <x v="3"/>
    <x v="0"/>
  </r>
  <r>
    <x v="0"/>
    <d v="2024-08-02T00:00:00"/>
    <s v="Friday"/>
    <s v="Chocolates"/>
    <n v="357"/>
    <s v="Wants"/>
    <x v="2"/>
    <x v="0"/>
  </r>
  <r>
    <x v="0"/>
    <d v="2024-08-03T00:00:00"/>
    <s v="Saturday"/>
    <s v="Auto"/>
    <n v="55"/>
    <s v="Wants"/>
    <x v="4"/>
    <x v="0"/>
  </r>
  <r>
    <x v="0"/>
    <d v="2024-08-03T00:00:00"/>
    <s v="Saturday"/>
    <s v="Nik Bakers: Lotus Cheesecake"/>
    <n v="320"/>
    <s v="Wants"/>
    <x v="5"/>
    <x v="0"/>
  </r>
  <r>
    <x v="0"/>
    <d v="2024-08-03T00:00:00"/>
    <s v="Saturday"/>
    <s v="OvenFresh"/>
    <n v="1759"/>
    <s v="Wants"/>
    <x v="5"/>
    <x v="0"/>
  </r>
  <r>
    <x v="0"/>
    <d v="2024-08-03T00:00:00"/>
    <s v="Saturday"/>
    <s v="Auto"/>
    <n v="55"/>
    <s v="Wants"/>
    <x v="4"/>
    <x v="0"/>
  </r>
  <r>
    <x v="0"/>
    <d v="2024-08-03T00:00:00"/>
    <s v="Saturday"/>
    <s v="Auto"/>
    <n v="81"/>
    <s v="Wants"/>
    <x v="4"/>
    <x v="0"/>
  </r>
  <r>
    <x v="0"/>
    <d v="2024-08-04T00:00:00"/>
    <s v="Sunday"/>
    <s v="Froyo"/>
    <n v="270"/>
    <s v="Wants"/>
    <x v="5"/>
    <x v="0"/>
  </r>
  <r>
    <x v="0"/>
    <d v="2024-08-04T00:00:00"/>
    <s v="Sunday"/>
    <s v="Kalsang"/>
    <n v="1704"/>
    <s v="Wants"/>
    <x v="5"/>
    <x v="0"/>
  </r>
  <r>
    <x v="0"/>
    <d v="2024-08-05T00:00:00"/>
    <s v="Monday"/>
    <s v="Auto to home"/>
    <n v="149"/>
    <s v="Wants"/>
    <x v="4"/>
    <x v="0"/>
  </r>
  <r>
    <x v="0"/>
    <d v="2024-08-05T00:00:00"/>
    <s v="Monday"/>
    <s v="Chennai return tickets"/>
    <n v="7005"/>
    <s v="Needs"/>
    <x v="0"/>
    <x v="2"/>
  </r>
  <r>
    <x v="0"/>
    <d v="2024-08-06T00:00:00"/>
    <s v="Tuesday"/>
    <s v="Licious"/>
    <n v="823"/>
    <s v="Needs"/>
    <x v="6"/>
    <x v="1"/>
  </r>
  <r>
    <x v="0"/>
    <d v="2024-08-06T00:00:00"/>
    <s v="Tuesday"/>
    <s v="Blinkit"/>
    <n v="636"/>
    <s v="Needs"/>
    <x v="6"/>
    <x v="1"/>
  </r>
  <r>
    <x v="0"/>
    <d v="2024-08-07T00:00:00"/>
    <s v="Wednesday"/>
    <s v="idk"/>
    <n v="60"/>
    <s v="Wants"/>
    <x v="7"/>
    <x v="1"/>
  </r>
  <r>
    <x v="0"/>
    <d v="2024-08-07T00:00:00"/>
    <s v="Wednesday"/>
    <s v="Swiggy"/>
    <n v="1180"/>
    <s v="Wants"/>
    <x v="5"/>
    <x v="1"/>
  </r>
  <r>
    <x v="0"/>
    <d v="2024-08-07T00:00:00"/>
    <s v="Wednesday"/>
    <s v="Spotify"/>
    <n v="119"/>
    <s v="Wants"/>
    <x v="8"/>
    <x v="1"/>
  </r>
  <r>
    <x v="0"/>
    <d v="2024-08-07T00:00:00"/>
    <s v="Wednesday"/>
    <s v="Youtube Premimum"/>
    <n v="129"/>
    <s v="Wants"/>
    <x v="8"/>
    <x v="1"/>
  </r>
  <r>
    <x v="0"/>
    <d v="2024-08-08T00:00:00"/>
    <s v="Thursday"/>
    <s v="idk"/>
    <n v="69"/>
    <s v="Wants"/>
    <x v="7"/>
    <x v="1"/>
  </r>
  <r>
    <x v="0"/>
    <d v="2024-08-09T00:00:00"/>
    <s v="Friday"/>
    <s v="New Earphones"/>
    <n v="2009"/>
    <s v="Wants"/>
    <x v="9"/>
    <x v="1"/>
  </r>
  <r>
    <x v="0"/>
    <d v="2024-08-11T00:00:00"/>
    <s v="Sunday"/>
    <s v="Auto to mall"/>
    <n v="63"/>
    <s v="Wants"/>
    <x v="4"/>
    <x v="1"/>
  </r>
  <r>
    <x v="0"/>
    <d v="2024-08-11T00:00:00"/>
    <s v="Sunday"/>
    <s v="Sarath City Arcade"/>
    <n v="1100"/>
    <s v="Wants"/>
    <x v="10"/>
    <x v="1"/>
  </r>
  <r>
    <x v="0"/>
    <d v="2024-08-11T00:00:00"/>
    <s v="Sunday"/>
    <s v="Auto to home"/>
    <n v="145"/>
    <s v="Wants"/>
    <x v="4"/>
    <x v="1"/>
  </r>
  <r>
    <x v="0"/>
    <d v="2024-08-11T00:00:00"/>
    <s v="Sunday"/>
    <s v="Documents Prinout"/>
    <n v="120"/>
    <s v="Needs"/>
    <x v="11"/>
    <x v="1"/>
  </r>
  <r>
    <x v="0"/>
    <d v="2024-08-11T00:00:00"/>
    <s v="Sunday"/>
    <s v="Auto to hotel"/>
    <n v="113"/>
    <s v="Wants"/>
    <x v="4"/>
    <x v="1"/>
  </r>
  <r>
    <x v="0"/>
    <d v="2024-08-12T00:00:00"/>
    <s v="Monday"/>
    <s v="Auto"/>
    <n v="154"/>
    <s v="Wants"/>
    <x v="4"/>
    <x v="1"/>
  </r>
  <r>
    <x v="0"/>
    <d v="2024-08-12T00:00:00"/>
    <s v="Monday"/>
    <s v="SmartQ"/>
    <n v="38"/>
    <s v="Needs"/>
    <x v="12"/>
    <x v="1"/>
  </r>
  <r>
    <x v="0"/>
    <d v="2024-08-13T00:00:00"/>
    <s v="Tuesday"/>
    <s v="Dropout Subscription"/>
    <n v="159"/>
    <s v="Wants"/>
    <x v="8"/>
    <x v="1"/>
  </r>
  <r>
    <x v="0"/>
    <d v="2024-08-14T00:00:00"/>
    <s v="Wednesday"/>
    <s v="SmartQ"/>
    <n v="83"/>
    <s v="Needs"/>
    <x v="12"/>
    <x v="1"/>
  </r>
  <r>
    <x v="0"/>
    <d v="2024-08-15T00:00:00"/>
    <s v="Thursday"/>
    <s v="Re-book chennai return tickets"/>
    <n v="3478"/>
    <s v="Needs"/>
    <x v="0"/>
    <x v="2"/>
  </r>
  <r>
    <x v="0"/>
    <d v="2024-08-15T00:00:00"/>
    <s v="Thursday"/>
    <s v="idk"/>
    <n v="93"/>
    <s v="Wants"/>
    <x v="7"/>
    <x v="1"/>
  </r>
  <r>
    <x v="0"/>
    <d v="2024-08-15T00:00:00"/>
    <s v="Thursday"/>
    <s v="idk"/>
    <n v="115"/>
    <s v="Wants"/>
    <x v="7"/>
    <x v="1"/>
  </r>
  <r>
    <x v="0"/>
    <d v="2024-08-16T00:00:00"/>
    <s v="Friday"/>
    <s v="SmartQ"/>
    <n v="95"/>
    <s v="Needs"/>
    <x v="12"/>
    <x v="1"/>
  </r>
  <r>
    <x v="0"/>
    <d v="2024-08-16T00:00:00"/>
    <s v="Friday"/>
    <s v="Rapido to home"/>
    <n v="47"/>
    <s v="Wants"/>
    <x v="4"/>
    <x v="1"/>
  </r>
  <r>
    <x v="0"/>
    <d v="2024-08-16T00:00:00"/>
    <s v="Friday"/>
    <s v="Cab to aiport"/>
    <n v="226.66666666666666"/>
    <s v="Wants"/>
    <x v="4"/>
    <x v="2"/>
  </r>
  <r>
    <x v="0"/>
    <d v="2024-08-16T00:00:00"/>
    <s v="Friday"/>
    <s v="Dinner @ Zaitoon"/>
    <n v="1574"/>
    <s v="Wants"/>
    <x v="5"/>
    <x v="2"/>
  </r>
  <r>
    <x v="0"/>
    <d v="2024-08-17T00:00:00"/>
    <s v="Saturday"/>
    <s v="Cab to VIT"/>
    <n v="390"/>
    <s v="Wants"/>
    <x v="4"/>
    <x v="2"/>
  </r>
  <r>
    <x v="0"/>
    <d v="2024-08-17T00:00:00"/>
    <s v="Saturday"/>
    <s v="Food @ VIT"/>
    <n v="120"/>
    <s v="Wants"/>
    <x v="5"/>
    <x v="2"/>
  </r>
  <r>
    <x v="0"/>
    <d v="2024-08-17T00:00:00"/>
    <s v="Saturday"/>
    <s v="Cab to hotel"/>
    <n v="130"/>
    <s v="Wants"/>
    <x v="4"/>
    <x v="2"/>
  </r>
  <r>
    <x v="0"/>
    <d v="2024-08-17T00:00:00"/>
    <s v="Saturday"/>
    <s v="Auto to mall"/>
    <n v="120"/>
    <s v="Wants"/>
    <x v="4"/>
    <x v="2"/>
  </r>
  <r>
    <x v="0"/>
    <d v="2024-08-17T00:00:00"/>
    <s v="Saturday"/>
    <s v="Cookbook"/>
    <n v="300"/>
    <s v="Wants"/>
    <x v="9"/>
    <x v="2"/>
  </r>
  <r>
    <x v="0"/>
    <d v="2024-08-17T00:00:00"/>
    <s v="Saturday"/>
    <s v="Dinner"/>
    <n v="1574"/>
    <s v="Wants"/>
    <x v="5"/>
    <x v="2"/>
  </r>
  <r>
    <x v="0"/>
    <d v="2024-08-17T00:00:00"/>
    <s v="Saturday"/>
    <s v="Auto to hotel"/>
    <n v="50"/>
    <s v="Wants"/>
    <x v="4"/>
    <x v="2"/>
  </r>
  <r>
    <x v="0"/>
    <d v="2024-08-18T00:00:00"/>
    <s v="Sunday"/>
    <s v="Suitcase storage @ mall"/>
    <n v="41.3"/>
    <s v="Needs"/>
    <x v="11"/>
    <x v="2"/>
  </r>
  <r>
    <x v="0"/>
    <d v="2024-08-18T00:00:00"/>
    <s v="Sunday"/>
    <s v="water @ airport"/>
    <n v="70"/>
    <s v="Wants"/>
    <x v="5"/>
    <x v="2"/>
  </r>
  <r>
    <x v="0"/>
    <d v="2024-08-18T00:00:00"/>
    <s v="Sunday"/>
    <s v="Bus to home"/>
    <n v="250"/>
    <s v="Wants"/>
    <x v="4"/>
    <x v="2"/>
  </r>
  <r>
    <x v="0"/>
    <d v="2024-08-18T00:00:00"/>
    <s v="Sunday"/>
    <s v="Cab to hotel"/>
    <n v="86"/>
    <s v="Wants"/>
    <x v="4"/>
    <x v="1"/>
  </r>
  <r>
    <x v="0"/>
    <d v="2024-08-18T00:00:00"/>
    <s v="Sunday"/>
    <s v="Amazon"/>
    <n v="996"/>
    <s v="Wants"/>
    <x v="9"/>
    <x v="1"/>
  </r>
  <r>
    <x v="0"/>
    <d v="2024-08-19T00:00:00"/>
    <s v="Monday"/>
    <s v="Rakshabandhan gifts"/>
    <n v="4000"/>
    <s v="Wants"/>
    <x v="2"/>
    <x v="1"/>
  </r>
  <r>
    <x v="0"/>
    <d v="2024-08-20T00:00:00"/>
    <s v="Tuesday"/>
    <s v="idk (to poojitha)"/>
    <n v="130"/>
    <s v="Wants"/>
    <x v="7"/>
    <x v="1"/>
  </r>
  <r>
    <x v="0"/>
    <d v="2024-08-20T00:00:00"/>
    <s v="Tuesday"/>
    <s v="SmartQ"/>
    <n v="130"/>
    <s v="Needs"/>
    <x v="12"/>
    <x v="1"/>
  </r>
  <r>
    <x v="0"/>
    <d v="2024-08-20T00:00:00"/>
    <s v="Tuesday"/>
    <s v="Steam Giftcard"/>
    <n v="500"/>
    <s v="Wants"/>
    <x v="9"/>
    <x v="1"/>
  </r>
  <r>
    <x v="0"/>
    <d v="2024-08-21T00:00:00"/>
    <s v="Wednesday"/>
    <s v="SmartQ"/>
    <n v="185"/>
    <s v="Needs"/>
    <x v="12"/>
    <x v="1"/>
  </r>
  <r>
    <x v="0"/>
    <d v="2024-08-21T00:00:00"/>
    <s v="Wednesday"/>
    <s v="Poojitha Rakshabandhan gift"/>
    <n v="150"/>
    <s v="Wants"/>
    <x v="2"/>
    <x v="1"/>
  </r>
  <r>
    <x v="0"/>
    <d v="2024-08-21T00:00:00"/>
    <s v="Wednesday"/>
    <s v="Netflix "/>
    <n v="199"/>
    <s v="Wants"/>
    <x v="8"/>
    <x v="1"/>
  </r>
  <r>
    <x v="0"/>
    <d v="2024-08-22T00:00:00"/>
    <s v="Thursday"/>
    <s v="SmartQ"/>
    <n v="115"/>
    <s v="Needs"/>
    <x v="12"/>
    <x v="1"/>
  </r>
  <r>
    <x v="0"/>
    <d v="2024-08-22T00:00:00"/>
    <s v="Thursday"/>
    <s v="idk (sabhavat satish)"/>
    <n v="123"/>
    <s v="Wants"/>
    <x v="7"/>
    <x v="1"/>
  </r>
  <r>
    <x v="0"/>
    <d v="2024-08-22T00:00:00"/>
    <s v="Thursday"/>
    <s v="idk (mudavath santhosh)"/>
    <n v="80"/>
    <s v="Wants"/>
    <x v="7"/>
    <x v="1"/>
  </r>
  <r>
    <x v="0"/>
    <d v="2024-08-23T00:00:00"/>
    <s v="Friday"/>
    <s v="SmartQ"/>
    <n v="174"/>
    <s v="Needs"/>
    <x v="12"/>
    <x v="1"/>
  </r>
  <r>
    <x v="0"/>
    <d v="2024-08-23T00:00:00"/>
    <s v="Friday"/>
    <s v="Angel One (MF trial)"/>
    <n v="1000"/>
    <s v="Investments"/>
    <x v="13"/>
    <x v="1"/>
  </r>
  <r>
    <x v="0"/>
    <d v="2024-08-24T00:00:00"/>
    <s v="Saturday"/>
    <s v="Auto to home"/>
    <n v="91"/>
    <s v="Wants"/>
    <x v="4"/>
    <x v="1"/>
  </r>
  <r>
    <x v="0"/>
    <d v="2024-08-24T00:00:00"/>
    <s v="Saturday"/>
    <s v="Airtel sim+wifi bill"/>
    <n v="1810.1599999999999"/>
    <s v="Needs"/>
    <x v="14"/>
    <x v="1"/>
  </r>
  <r>
    <x v="0"/>
    <d v="2024-08-25T00:00:00"/>
    <s v="Sunday"/>
    <s v="Amazon"/>
    <n v="1929"/>
    <s v="Wants"/>
    <x v="9"/>
    <x v="1"/>
  </r>
  <r>
    <x v="0"/>
    <d v="2024-08-25T00:00:00"/>
    <s v="Sunday"/>
    <s v="zepto"/>
    <n v="748"/>
    <s v="Needs"/>
    <x v="6"/>
    <x v="1"/>
  </r>
  <r>
    <x v="0"/>
    <d v="2024-08-26T00:00:00"/>
    <s v="Monday"/>
    <s v="Auto to office"/>
    <n v="61"/>
    <s v="Needs"/>
    <x v="15"/>
    <x v="1"/>
  </r>
  <r>
    <x v="0"/>
    <d v="2024-08-26T00:00:00"/>
    <s v="Monday"/>
    <s v="SmartQ"/>
    <n v="250"/>
    <s v="Needs"/>
    <x v="12"/>
    <x v="1"/>
  </r>
  <r>
    <x v="0"/>
    <d v="2024-08-26T00:00:00"/>
    <s v="Monday"/>
    <s v="Auto to home"/>
    <n v="83"/>
    <s v="Needs"/>
    <x v="15"/>
    <x v="1"/>
  </r>
  <r>
    <x v="0"/>
    <d v="2024-08-26T00:00:00"/>
    <s v="Monday"/>
    <s v="Zepto"/>
    <n v="391"/>
    <s v="Needs"/>
    <x v="6"/>
    <x v="1"/>
  </r>
  <r>
    <x v="0"/>
    <d v="2024-08-27T00:00:00"/>
    <s v="Tuesday"/>
    <s v="SmartQ"/>
    <n v="190"/>
    <s v="Needs"/>
    <x v="12"/>
    <x v="1"/>
  </r>
  <r>
    <x v="0"/>
    <d v="2024-08-28T00:00:00"/>
    <s v="Wednesday"/>
    <s v="Auto to office"/>
    <n v="66"/>
    <s v="Needs"/>
    <x v="15"/>
    <x v="1"/>
  </r>
  <r>
    <x v="0"/>
    <d v="2024-08-28T00:00:00"/>
    <s v="Wednesday"/>
    <s v="SmartQ"/>
    <n v="185"/>
    <s v="Needs"/>
    <x v="12"/>
    <x v="1"/>
  </r>
  <r>
    <x v="0"/>
    <d v="2024-08-28T00:00:00"/>
    <s v="Wednesday"/>
    <s v="Auto to Sarath"/>
    <n v="46.75"/>
    <s v="Wants"/>
    <x v="4"/>
    <x v="1"/>
  </r>
  <r>
    <x v="0"/>
    <d v="2024-08-28T00:00:00"/>
    <s v="Wednesday"/>
    <s v="Food @ Sarath"/>
    <n v="207"/>
    <s v="Wants"/>
    <x v="5"/>
    <x v="1"/>
  </r>
  <r>
    <x v="0"/>
    <d v="2024-08-28T00:00:00"/>
    <s v="Wednesday"/>
    <s v="Auto to home"/>
    <n v="58"/>
    <s v="Wants"/>
    <x v="4"/>
    <x v="1"/>
  </r>
  <r>
    <x v="0"/>
    <d v="2024-08-28T00:00:00"/>
    <s v="Wednesday"/>
    <s v="Books @ Bookfair"/>
    <n v="700"/>
    <s v="Wants"/>
    <x v="9"/>
    <x v="1"/>
  </r>
  <r>
    <x v="0"/>
    <d v="2024-08-29T00:00:00"/>
    <s v="Thursday"/>
    <s v="SmartQ"/>
    <n v="184"/>
    <s v="Needs"/>
    <x v="12"/>
    <x v="1"/>
  </r>
  <r>
    <x v="0"/>
    <d v="2024-08-29T00:00:00"/>
    <s v="Thursday"/>
    <s v="Juice"/>
    <n v="30"/>
    <s v="Needs"/>
    <x v="12"/>
    <x v="1"/>
  </r>
  <r>
    <x v="0"/>
    <d v="2024-08-30T00:00:00"/>
    <s v="Friday"/>
    <s v="Auto to office"/>
    <n v="80"/>
    <s v="Needs"/>
    <x v="15"/>
    <x v="1"/>
  </r>
  <r>
    <x v="0"/>
    <d v="2024-08-30T00:00:00"/>
    <s v="Friday"/>
    <s v="SmartQ"/>
    <n v="648"/>
    <s v="Needs"/>
    <x v="12"/>
    <x v="1"/>
  </r>
  <r>
    <x v="0"/>
    <d v="2024-08-31T00:00:00"/>
    <s v="Saturday"/>
    <s v="Zepto"/>
    <n v="914.6"/>
    <s v="Needs"/>
    <x v="6"/>
    <x v="1"/>
  </r>
  <r>
    <x v="0"/>
    <d v="2024-08-31T00:00:00"/>
    <s v="Saturday"/>
    <s v="Auto to metro"/>
    <n v="69"/>
    <s v="Wants"/>
    <x v="4"/>
    <x v="3"/>
  </r>
  <r>
    <x v="0"/>
    <d v="2024-08-31T00:00:00"/>
    <s v="Saturday"/>
    <s v="Snacks @ Metro Station"/>
    <n v="215"/>
    <s v="Wants"/>
    <x v="5"/>
    <x v="1"/>
  </r>
  <r>
    <x v="0"/>
    <d v="2024-08-31T00:00:00"/>
    <s v="Saturday"/>
    <s v="Metro tickets"/>
    <n v="80"/>
    <s v="Wants"/>
    <x v="4"/>
    <x v="1"/>
  </r>
  <r>
    <x v="0"/>
    <d v="2024-08-31T00:00:00"/>
    <s v="Saturday"/>
    <s v="Swiggy"/>
    <n v="599"/>
    <s v="Wants"/>
    <x v="5"/>
    <x v="3"/>
  </r>
  <r>
    <x v="0"/>
    <d v="2024-08-31T00:00:00"/>
    <s v="Saturday"/>
    <s v="Groceries"/>
    <n v="110"/>
    <s v="Needs"/>
    <x v="6"/>
    <x v="1"/>
  </r>
  <r>
    <x v="0"/>
    <d v="2024-08-31T00:00:00"/>
    <s v="Saturday"/>
    <s v="Escape room"/>
    <n v="750"/>
    <s v="Wants"/>
    <x v="10"/>
    <x v="1"/>
  </r>
  <r>
    <x v="0"/>
    <d v="2024-08-31T00:00:00"/>
    <s v="Saturday"/>
    <s v="Movie"/>
    <n v="328"/>
    <s v="Wants"/>
    <x v="10"/>
    <x v="3"/>
  </r>
  <r>
    <x v="0"/>
    <d v="2024-08-31T00:00:00"/>
    <s v="Saturday"/>
    <s v="Frankie"/>
    <n v="130"/>
    <s v="Wants"/>
    <x v="5"/>
    <x v="3"/>
  </r>
  <r>
    <x v="1"/>
    <d v="2024-09-01T00:00:00"/>
    <s v="Sunday"/>
    <s v="Water Can"/>
    <n v="105"/>
    <s v="Needs"/>
    <x v="6"/>
    <x v="1"/>
  </r>
  <r>
    <x v="1"/>
    <d v="2024-09-02T00:00:00"/>
    <s v="Monday"/>
    <s v="Swiggy"/>
    <n v="699"/>
    <s v="Wants"/>
    <x v="5"/>
    <x v="1"/>
  </r>
  <r>
    <x v="1"/>
    <d v="2024-09-03T00:00:00"/>
    <s v="Tuesday"/>
    <s v="Zepto"/>
    <n v="340.75"/>
    <s v="Needs"/>
    <x v="6"/>
    <x v="1"/>
  </r>
  <r>
    <x v="1"/>
    <d v="2024-09-04T00:00:00"/>
    <s v="Wednesday"/>
    <s v="SmartQ"/>
    <n v="352"/>
    <s v="Needs"/>
    <x v="12"/>
    <x v="1"/>
  </r>
  <r>
    <x v="1"/>
    <d v="2024-09-05T00:00:00"/>
    <s v="Thursday"/>
    <s v="Auto to Office"/>
    <n v="111"/>
    <s v="Needs"/>
    <x v="15"/>
    <x v="1"/>
  </r>
  <r>
    <x v="1"/>
    <d v="2024-09-05T00:00:00"/>
    <s v="Thursday"/>
    <s v="SmartQ"/>
    <n v="214"/>
    <s v="Needs"/>
    <x v="12"/>
    <x v="1"/>
  </r>
  <r>
    <x v="1"/>
    <d v="2024-09-06T00:00:00"/>
    <s v="Friday"/>
    <s v="Auto to Office"/>
    <n v="60"/>
    <s v="Needs"/>
    <x v="15"/>
    <x v="1"/>
  </r>
  <r>
    <x v="1"/>
    <d v="2024-09-06T00:00:00"/>
    <s v="Friday"/>
    <s v="SmartQ"/>
    <n v="249"/>
    <s v="Needs"/>
    <x v="12"/>
    <x v="1"/>
  </r>
  <r>
    <x v="1"/>
    <d v="2024-09-06T00:00:00"/>
    <s v="Friday"/>
    <s v="Rent + Maintainence"/>
    <n v="20201.169999999998"/>
    <s v="Needs"/>
    <x v="1"/>
    <x v="1"/>
  </r>
  <r>
    <x v="1"/>
    <d v="2024-09-06T00:00:00"/>
    <s v="Friday"/>
    <s v="SmartQ"/>
    <n v="156"/>
    <s v="Needs"/>
    <x v="12"/>
    <x v="1"/>
  </r>
  <r>
    <x v="1"/>
    <d v="2024-09-07T00:00:00"/>
    <s v="Saturday"/>
    <s v="Jio Recharge"/>
    <n v="200.9"/>
    <s v="Needs"/>
    <x v="14"/>
    <x v="1"/>
  </r>
  <r>
    <x v="1"/>
    <d v="2024-09-07T00:00:00"/>
    <s v="Saturday"/>
    <s v="Spotify Subscription"/>
    <n v="119"/>
    <s v="Wants"/>
    <x v="8"/>
    <x v="1"/>
  </r>
  <r>
    <x v="1"/>
    <d v="2024-09-07T00:00:00"/>
    <s v="Saturday"/>
    <s v="Youtube Premium Subscription"/>
    <n v="129"/>
    <s v="Wants"/>
    <x v="8"/>
    <x v="1"/>
  </r>
  <r>
    <x v="1"/>
    <d v="2024-09-08T00:00:00"/>
    <s v="Sunday"/>
    <s v="Swiggy"/>
    <n v="189"/>
    <s v="Wants"/>
    <x v="5"/>
    <x v="1"/>
  </r>
  <r>
    <x v="1"/>
    <d v="2024-09-08T00:00:00"/>
    <s v="Sunday"/>
    <s v="Angel One (trying out stocks)"/>
    <n v="5000"/>
    <s v="Investments"/>
    <x v="16"/>
    <x v="1"/>
  </r>
  <r>
    <x v="1"/>
    <d v="2024-09-08T00:00:00"/>
    <s v="Sunday"/>
    <s v="Auto to Ankana's House"/>
    <n v="111"/>
    <s v="Wants"/>
    <x v="4"/>
    <x v="1"/>
  </r>
  <r>
    <x v="1"/>
    <d v="2024-09-09T00:00:00"/>
    <s v="Monday"/>
    <s v="Auto to Office"/>
    <n v="53"/>
    <s v="Needs"/>
    <x v="15"/>
    <x v="1"/>
  </r>
  <r>
    <x v="1"/>
    <d v="2024-09-09T00:00:00"/>
    <s v="Monday"/>
    <s v="SmartQ"/>
    <n v="150"/>
    <s v="Needs"/>
    <x v="12"/>
    <x v="1"/>
  </r>
  <r>
    <x v="1"/>
    <d v="2024-09-09T00:00:00"/>
    <s v="Monday"/>
    <s v="Sujay Birthday Cake"/>
    <n v="913"/>
    <s v="Wants"/>
    <x v="2"/>
    <x v="1"/>
  </r>
  <r>
    <x v="1"/>
    <d v="2024-09-10T00:00:00"/>
    <s v="Tuesday"/>
    <s v="Swiggy"/>
    <n v="326"/>
    <s v="Wants"/>
    <x v="5"/>
    <x v="1"/>
  </r>
  <r>
    <x v="1"/>
    <d v="2024-09-10T00:00:00"/>
    <s v="Tuesday"/>
    <s v="Auto To Decathlon"/>
    <n v="35"/>
    <s v="Wants"/>
    <x v="4"/>
    <x v="1"/>
  </r>
  <r>
    <x v="1"/>
    <d v="2024-09-10T00:00:00"/>
    <s v="Tuesday"/>
    <s v="Decathlon (shoes+socks)"/>
    <n v="2596"/>
    <s v="Wants"/>
    <x v="3"/>
    <x v="1"/>
  </r>
  <r>
    <x v="1"/>
    <d v="2024-09-10T00:00:00"/>
    <s v="Tuesday"/>
    <s v="To Theobroma"/>
    <n v="30"/>
    <s v="Wants"/>
    <x v="4"/>
    <x v="1"/>
  </r>
  <r>
    <x v="1"/>
    <d v="2024-09-10T00:00:00"/>
    <s v="Tuesday"/>
    <s v="Cake #2 XD"/>
    <n v="738"/>
    <s v="Wants"/>
    <x v="2"/>
    <x v="1"/>
  </r>
  <r>
    <x v="1"/>
    <d v="2024-09-10T00:00:00"/>
    <s v="Tuesday"/>
    <s v="Auto to home"/>
    <n v="87"/>
    <s v="Wants"/>
    <x v="4"/>
    <x v="1"/>
  </r>
  <r>
    <x v="1"/>
    <d v="2024-09-10T00:00:00"/>
    <s v="Tuesday"/>
    <s v="Swiggy"/>
    <n v="254"/>
    <s v="Wants"/>
    <x v="5"/>
    <x v="1"/>
  </r>
  <r>
    <x v="1"/>
    <d v="2024-09-11T00:00:00"/>
    <s v="Wednesday"/>
    <s v="Auto to Office"/>
    <n v="115"/>
    <s v="Needs"/>
    <x v="15"/>
    <x v="1"/>
  </r>
  <r>
    <x v="1"/>
    <d v="2024-09-11T00:00:00"/>
    <s v="Wednesday"/>
    <s v="Nagarjuna Sagar Trip advance to Prasoon"/>
    <n v="1000"/>
    <s v="Wants"/>
    <x v="10"/>
    <x v="1"/>
  </r>
  <r>
    <x v="1"/>
    <d v="2024-09-11T00:00:00"/>
    <s v="Wednesday"/>
    <s v="SmartQ"/>
    <n v="464"/>
    <s v="Needs"/>
    <x v="12"/>
    <x v="1"/>
  </r>
  <r>
    <x v="1"/>
    <d v="2024-09-11T00:00:00"/>
    <s v="Wednesday"/>
    <s v="Auto to Home"/>
    <n v="84"/>
    <s v="Needs"/>
    <x v="15"/>
    <x v="1"/>
  </r>
  <r>
    <x v="1"/>
    <d v="2024-09-12T00:00:00"/>
    <s v="Thursday"/>
    <s v="Auto to Office"/>
    <n v="105"/>
    <s v="Needs"/>
    <x v="15"/>
    <x v="1"/>
  </r>
  <r>
    <x v="1"/>
    <d v="2024-09-12T00:00:00"/>
    <s v="Thursday"/>
    <s v="SmartQ"/>
    <n v="150"/>
    <s v="Needs"/>
    <x v="12"/>
    <x v="1"/>
  </r>
  <r>
    <x v="1"/>
    <d v="2024-09-12T00:00:00"/>
    <s v="Thursday"/>
    <s v="Auto to Raidurga Station"/>
    <n v="40.5"/>
    <s v="Wants"/>
    <x v="4"/>
    <x v="1"/>
  </r>
  <r>
    <x v="1"/>
    <d v="2024-09-12T00:00:00"/>
    <s v="Thursday"/>
    <s v="Metro"/>
    <n v="90"/>
    <s v="Wants"/>
    <x v="4"/>
    <x v="1"/>
  </r>
  <r>
    <x v="1"/>
    <d v="2024-09-12T00:00:00"/>
    <s v="Thursday"/>
    <s v="Cab to Poojtha's PG"/>
    <n v="30"/>
    <s v="Wants"/>
    <x v="4"/>
    <x v="1"/>
  </r>
  <r>
    <x v="1"/>
    <d v="2024-09-12T00:00:00"/>
    <s v="Thursday"/>
    <s v="Auto to home"/>
    <n v="88"/>
    <s v="Wants"/>
    <x v="4"/>
    <x v="1"/>
  </r>
  <r>
    <x v="1"/>
    <d v="2024-09-13T00:00:00"/>
    <s v="Friday"/>
    <s v="Auto to Office"/>
    <n v="57"/>
    <s v="Needs"/>
    <x v="15"/>
    <x v="1"/>
  </r>
  <r>
    <x v="1"/>
    <d v="2024-09-13T00:00:00"/>
    <s v="Friday"/>
    <s v="SmartQ"/>
    <n v="300"/>
    <s v="Needs"/>
    <x v="12"/>
    <x v="1"/>
  </r>
  <r>
    <x v="1"/>
    <d v="2024-09-13T00:00:00"/>
    <s v="Friday"/>
    <s v="Zepto"/>
    <n v="550"/>
    <s v="Wants"/>
    <x v="9"/>
    <x v="1"/>
  </r>
  <r>
    <x v="1"/>
    <d v="2024-09-13T00:00:00"/>
    <s v="Friday"/>
    <s v="Dropout Membership"/>
    <n v="159"/>
    <s v="Wants"/>
    <x v="8"/>
    <x v="1"/>
  </r>
  <r>
    <x v="1"/>
    <d v="2024-09-15T00:00:00"/>
    <s v="Sunday"/>
    <s v="Movie"/>
    <n v="230"/>
    <s v="Wants"/>
    <x v="10"/>
    <x v="1"/>
  </r>
  <r>
    <x v="1"/>
    <d v="2024-09-15T00:00:00"/>
    <s v="Sunday"/>
    <s v="Trip Cost (splitwise)"/>
    <n v="1456"/>
    <s v="Wants"/>
    <x v="10"/>
    <x v="1"/>
  </r>
  <r>
    <x v="1"/>
    <d v="2024-09-15T00:00:00"/>
    <s v="Sunday"/>
    <s v="Splitwise"/>
    <n v="49"/>
    <s v="Wants"/>
    <x v="9"/>
    <x v="1"/>
  </r>
  <r>
    <x v="1"/>
    <d v="2024-09-15T00:00:00"/>
    <s v="Sunday"/>
    <s v="Groceries"/>
    <n v="139.66666666666666"/>
    <s v="Needs"/>
    <x v="6"/>
    <x v="1"/>
  </r>
  <r>
    <x v="1"/>
    <d v="2024-09-15T00:00:00"/>
    <s v="Sunday"/>
    <s v="Bowling Cost"/>
    <n v="316"/>
    <s v="Wants"/>
    <x v="10"/>
    <x v="1"/>
  </r>
  <r>
    <x v="1"/>
    <d v="2024-09-15T00:00:00"/>
    <s v="Sunday"/>
    <s v="Dinner"/>
    <n v="338"/>
    <s v="Wants"/>
    <x v="5"/>
    <x v="1"/>
  </r>
  <r>
    <x v="1"/>
    <d v="2024-09-15T00:00:00"/>
    <s v="Sunday"/>
    <s v="Auto to home"/>
    <n v="81"/>
    <s v="Wants"/>
    <x v="4"/>
    <x v="1"/>
  </r>
  <r>
    <x v="1"/>
    <d v="2024-09-17T00:00:00"/>
    <s v="Tuesday"/>
    <s v="Diwali Flights"/>
    <n v="17161"/>
    <s v="Needs"/>
    <x v="0"/>
    <x v="4"/>
  </r>
  <r>
    <x v="1"/>
    <d v="2024-09-17T00:00:00"/>
    <s v="Tuesday"/>
    <s v="Swiggy"/>
    <n v="955"/>
    <s v="Wants"/>
    <x v="5"/>
    <x v="1"/>
  </r>
  <r>
    <x v="1"/>
    <d v="2024-09-18T00:00:00"/>
    <s v="Wednesday"/>
    <s v="Auto to office"/>
    <n v="102"/>
    <s v="Needs"/>
    <x v="15"/>
    <x v="1"/>
  </r>
  <r>
    <x v="1"/>
    <d v="2024-09-18T00:00:00"/>
    <s v="Wednesday"/>
    <s v="SmartQ"/>
    <n v="329"/>
    <s v="Needs"/>
    <x v="12"/>
    <x v="1"/>
  </r>
  <r>
    <x v="1"/>
    <d v="2024-09-18T00:00:00"/>
    <s v="Wednesday"/>
    <s v="Coffee"/>
    <n v="95"/>
    <s v="Needs"/>
    <x v="12"/>
    <x v="1"/>
  </r>
  <r>
    <x v="1"/>
    <d v="2024-09-19T00:00:00"/>
    <s v="Thursday"/>
    <s v="Auto to Office"/>
    <n v="95"/>
    <s v="Needs"/>
    <x v="15"/>
    <x v="1"/>
  </r>
  <r>
    <x v="1"/>
    <d v="2024-09-19T00:00:00"/>
    <s v="Thursday"/>
    <s v="SmartQ"/>
    <n v="389"/>
    <s v="Needs"/>
    <x v="12"/>
    <x v="1"/>
  </r>
  <r>
    <x v="1"/>
    <d v="2024-09-19T00:00:00"/>
    <s v="Thursday"/>
    <s v="Auto to home"/>
    <n v="63"/>
    <s v="Needs"/>
    <x v="15"/>
    <x v="1"/>
  </r>
  <r>
    <x v="1"/>
    <d v="2024-09-19T00:00:00"/>
    <s v="Thursday"/>
    <s v="Zepto"/>
    <n v="420.16"/>
    <s v="Needs"/>
    <x v="6"/>
    <x v="1"/>
  </r>
  <r>
    <x v="1"/>
    <d v="2024-09-20T00:00:00"/>
    <s v="Friday"/>
    <s v="Auto to office"/>
    <n v="89"/>
    <s v="Needs"/>
    <x v="15"/>
    <x v="1"/>
  </r>
  <r>
    <x v="1"/>
    <d v="2024-09-20T00:00:00"/>
    <s v="Friday"/>
    <s v="Auto to home"/>
    <n v="300"/>
    <s v="Needs"/>
    <x v="15"/>
    <x v="1"/>
  </r>
  <r>
    <x v="1"/>
    <d v="2024-09-21T00:00:00"/>
    <s v="Saturday"/>
    <s v="Zepto"/>
    <n v="585.04999999999995"/>
    <s v="Needs"/>
    <x v="6"/>
    <x v="1"/>
  </r>
  <r>
    <x v="1"/>
    <d v="2024-09-21T00:00:00"/>
    <s v="Saturday"/>
    <s v="Netflix "/>
    <n v="199"/>
    <s v="Wants"/>
    <x v="8"/>
    <x v="1"/>
  </r>
  <r>
    <x v="1"/>
    <d v="2024-09-22T00:00:00"/>
    <s v="Sunday"/>
    <s v="Headphones"/>
    <n v="1212"/>
    <s v="Wants"/>
    <x v="9"/>
    <x v="1"/>
  </r>
  <r>
    <x v="1"/>
    <d v="2024-09-22T00:00:00"/>
    <s v="Sunday"/>
    <s v="Bedsheet"/>
    <n v="601"/>
    <s v="Wants"/>
    <x v="17"/>
    <x v="1"/>
  </r>
  <r>
    <x v="1"/>
    <d v="2024-09-22T00:00:00"/>
    <s v="Sunday"/>
    <s v="Wifi UPS"/>
    <n v="466.33333333333331"/>
    <s v="Wants"/>
    <x v="17"/>
    <x v="1"/>
  </r>
  <r>
    <x v="1"/>
    <d v="2024-09-22T00:00:00"/>
    <s v="Sunday"/>
    <s v="Swiggy"/>
    <n v="463"/>
    <s v="Wants"/>
    <x v="5"/>
    <x v="1"/>
  </r>
  <r>
    <x v="1"/>
    <d v="2024-09-23T00:00:00"/>
    <s v="Monday"/>
    <s v="Sanjeev Gift"/>
    <n v="5074"/>
    <s v="Wants"/>
    <x v="2"/>
    <x v="1"/>
  </r>
  <r>
    <x v="1"/>
    <d v="2024-09-23T00:00:00"/>
    <s v="Monday"/>
    <s v="Zepto"/>
    <n v="343"/>
    <s v="Needs"/>
    <x v="6"/>
    <x v="1"/>
  </r>
  <r>
    <x v="1"/>
    <d v="2024-09-24T00:00:00"/>
    <s v="Tuesday"/>
    <s v="Auto to office"/>
    <n v="110"/>
    <s v="Needs"/>
    <x v="15"/>
    <x v="1"/>
  </r>
  <r>
    <x v="1"/>
    <d v="2024-09-24T00:00:00"/>
    <s v="Tuesday"/>
    <s v="SmartQ"/>
    <n v="394"/>
    <s v="Needs"/>
    <x v="12"/>
    <x v="1"/>
  </r>
  <r>
    <x v="1"/>
    <d v="2024-09-24T00:00:00"/>
    <s v="Tuesday"/>
    <s v="Auto to home"/>
    <n v="67"/>
    <s v="Needs"/>
    <x v="15"/>
    <x v="1"/>
  </r>
  <r>
    <x v="1"/>
    <d v="2024-09-25T00:00:00"/>
    <s v="Wednesday"/>
    <s v="Auto to office"/>
    <n v="107"/>
    <s v="Needs"/>
    <x v="15"/>
    <x v="1"/>
  </r>
  <r>
    <x v="1"/>
    <d v="2024-09-25T00:00:00"/>
    <s v="Wednesday"/>
    <s v="SmartQ"/>
    <n v="453"/>
    <s v="Needs"/>
    <x v="12"/>
    <x v="1"/>
  </r>
  <r>
    <x v="1"/>
    <d v="2024-09-25T00:00:00"/>
    <s v="Wednesday"/>
    <s v="Auto to home"/>
    <n v="64"/>
    <s v="Needs"/>
    <x v="15"/>
    <x v="1"/>
  </r>
  <r>
    <x v="1"/>
    <d v="2024-09-26T00:00:00"/>
    <s v="Thursday"/>
    <s v="Auto to office"/>
    <n v="110"/>
    <s v="Needs"/>
    <x v="15"/>
    <x v="1"/>
  </r>
  <r>
    <x v="1"/>
    <d v="2024-09-26T00:00:00"/>
    <s v="Thursday"/>
    <s v="SmartQ"/>
    <n v="125"/>
    <s v="Needs"/>
    <x v="12"/>
    <x v="1"/>
  </r>
  <r>
    <x v="1"/>
    <d v="2024-09-26T00:00:00"/>
    <s v="Thursday"/>
    <s v="Auto to inorbit"/>
    <n v="26"/>
    <s v="Wants"/>
    <x v="4"/>
    <x v="1"/>
  </r>
  <r>
    <x v="1"/>
    <d v="2024-09-26T00:00:00"/>
    <s v="Thursday"/>
    <s v="Punjab Grill"/>
    <n v="174"/>
    <s v="Wants"/>
    <x v="5"/>
    <x v="1"/>
  </r>
  <r>
    <x v="1"/>
    <d v="2024-09-26T00:00:00"/>
    <s v="Thursday"/>
    <s v="Bowling + Deal or no deal (SMAASH Inorbit)"/>
    <n v="337.5"/>
    <s v="Wants"/>
    <x v="10"/>
    <x v="1"/>
  </r>
  <r>
    <x v="1"/>
    <d v="2024-09-26T00:00:00"/>
    <s v="Thursday"/>
    <s v="Piano tiles (SMAASH Inorbit)"/>
    <n v="150"/>
    <s v="Wants"/>
    <x v="10"/>
    <x v="1"/>
  </r>
  <r>
    <x v="1"/>
    <d v="2024-09-26T00:00:00"/>
    <s v="Thursday"/>
    <s v="Wow chicken"/>
    <n v="228"/>
    <s v="Wants"/>
    <x v="5"/>
    <x v="1"/>
  </r>
  <r>
    <x v="1"/>
    <d v="2024-09-26T00:00:00"/>
    <s v="Thursday"/>
    <s v="Auto to home"/>
    <n v="47"/>
    <s v="Wants"/>
    <x v="4"/>
    <x v="1"/>
  </r>
  <r>
    <x v="1"/>
    <d v="2024-09-27T00:00:00"/>
    <s v="Friday"/>
    <s v="Auto to office"/>
    <n v="83"/>
    <s v="Needs"/>
    <x v="15"/>
    <x v="1"/>
  </r>
  <r>
    <x v="1"/>
    <d v="2024-09-27T00:00:00"/>
    <s v="Friday"/>
    <s v="SmartQ"/>
    <n v="262.3"/>
    <s v="Needs"/>
    <x v="12"/>
    <x v="1"/>
  </r>
  <r>
    <x v="1"/>
    <d v="2024-09-27T00:00:00"/>
    <s v="Friday"/>
    <s v="Auto to home"/>
    <n v="50"/>
    <s v="Needs"/>
    <x v="15"/>
    <x v="1"/>
  </r>
  <r>
    <x v="1"/>
    <d v="2024-09-28T00:00:00"/>
    <s v="Saturday"/>
    <s v="Swiggy"/>
    <n v="517"/>
    <s v="Wants"/>
    <x v="5"/>
    <x v="1"/>
  </r>
  <r>
    <x v="1"/>
    <d v="2024-09-28T00:00:00"/>
    <s v="Saturday"/>
    <s v="Water"/>
    <n v="30"/>
    <s v="Needs"/>
    <x v="6"/>
    <x v="1"/>
  </r>
  <r>
    <x v="1"/>
    <d v="2024-09-28T00:00:00"/>
    <s v="Saturday"/>
    <s v="Zepto"/>
    <n v="281"/>
    <s v="Wants"/>
    <x v="9"/>
    <x v="1"/>
  </r>
  <r>
    <x v="1"/>
    <d v="2024-09-29T00:00:00"/>
    <s v="Sunday"/>
    <s v="Dinner"/>
    <n v="234"/>
    <s v="Wants"/>
    <x v="5"/>
    <x v="1"/>
  </r>
  <r>
    <x v="1"/>
    <d v="2024-09-30T00:00:00"/>
    <s v="Monday"/>
    <s v="Lunch"/>
    <n v="409"/>
    <s v="Wants"/>
    <x v="5"/>
    <x v="1"/>
  </r>
  <r>
    <x v="1"/>
    <d v="2024-09-30T00:00:00"/>
    <s v="Monday"/>
    <s v="Zepto"/>
    <n v="494"/>
    <s v="Needs"/>
    <x v="6"/>
    <x v="1"/>
  </r>
  <r>
    <x v="1"/>
    <d v="2024-09-30T00:00:00"/>
    <s v="Monday"/>
    <s v="Zepto payment didn't reflect on app, should get refund"/>
    <n v="494"/>
    <s v="Wants"/>
    <x v="9"/>
    <x v="1"/>
  </r>
  <r>
    <x v="2"/>
    <d v="2024-10-01T00:00:00"/>
    <s v="Tuesday"/>
    <s v="Clothes"/>
    <n v="2248"/>
    <s v="Wants"/>
    <x v="3"/>
    <x v="1"/>
  </r>
  <r>
    <x v="2"/>
    <d v="2024-10-01T00:00:00"/>
    <s v="Tuesday"/>
    <s v="SIP"/>
    <n v="15000"/>
    <s v="Investments"/>
    <x v="13"/>
    <x v="1"/>
  </r>
  <r>
    <x v="2"/>
    <d v="2024-10-01T00:00:00"/>
    <s v="Tuesday"/>
    <s v="Rent + Maintainence"/>
    <n v="20666.666666666668"/>
    <s v="Needs"/>
    <x v="1"/>
    <x v="1"/>
  </r>
  <r>
    <x v="2"/>
    <d v="2024-10-01T00:00:00"/>
    <s v="Tuesday"/>
    <s v="Airtel recharge"/>
    <n v="355.92"/>
    <s v="Needs"/>
    <x v="14"/>
    <x v="1"/>
  </r>
  <r>
    <x v="2"/>
    <d v="2024-10-01T00:00:00"/>
    <s v="Tuesday"/>
    <s v="Lunch"/>
    <n v="438"/>
    <s v="Wants"/>
    <x v="5"/>
    <x v="1"/>
  </r>
  <r>
    <x v="2"/>
    <d v="2024-10-01T00:00:00"/>
    <s v="Tuesday"/>
    <s v="Zepto"/>
    <n v="264.33333333333331"/>
    <s v="Needs"/>
    <x v="6"/>
    <x v="1"/>
  </r>
  <r>
    <x v="2"/>
    <d v="2024-10-02T00:00:00"/>
    <s v="Wednesday"/>
    <s v="Zepto"/>
    <n v="304.16666666666663"/>
    <s v="Needs"/>
    <x v="6"/>
    <x v="1"/>
  </r>
  <r>
    <x v="2"/>
    <d v="2024-10-02T00:00:00"/>
    <s v="Wednesday"/>
    <s v="Auto to Sarath City"/>
    <n v="36.33"/>
    <s v="Wants"/>
    <x v="4"/>
    <x v="1"/>
  </r>
  <r>
    <x v="2"/>
    <d v="2024-10-02T00:00:00"/>
    <s v="Wednesday"/>
    <s v="Dinner"/>
    <n v="110"/>
    <s v="Wants"/>
    <x v="5"/>
    <x v="1"/>
  </r>
  <r>
    <x v="2"/>
    <d v="2024-10-02T00:00:00"/>
    <s v="Wednesday"/>
    <s v="Haunted House"/>
    <n v="200"/>
    <s v="Wants"/>
    <x v="10"/>
    <x v="1"/>
  </r>
  <r>
    <x v="2"/>
    <d v="2024-10-02T00:00:00"/>
    <s v="Wednesday"/>
    <s v="Bowling"/>
    <n v="311.25"/>
    <s v="Wants"/>
    <x v="10"/>
    <x v="1"/>
  </r>
  <r>
    <x v="2"/>
    <d v="2024-10-02T00:00:00"/>
    <s v="Wednesday"/>
    <s v="Ice cream"/>
    <n v="104"/>
    <s v="Wants"/>
    <x v="5"/>
    <x v="1"/>
  </r>
  <r>
    <x v="2"/>
    <d v="2024-10-02T00:00:00"/>
    <s v="Wednesday"/>
    <s v="Auto to home"/>
    <n v="45"/>
    <s v="Wants"/>
    <x v="4"/>
    <x v="1"/>
  </r>
  <r>
    <x v="2"/>
    <d v="2024-10-03T00:00:00"/>
    <s v="Thursday"/>
    <s v="To cleaner"/>
    <n v="666.66666666666663"/>
    <s v="Needs"/>
    <x v="18"/>
    <x v="1"/>
  </r>
  <r>
    <x v="2"/>
    <d v="2024-10-03T00:00:00"/>
    <s v="Thursday"/>
    <s v="Auto to Office"/>
    <n v="91"/>
    <s v="Needs"/>
    <x v="15"/>
    <x v="1"/>
  </r>
  <r>
    <x v="2"/>
    <d v="2024-10-03T00:00:00"/>
    <s v="Thursday"/>
    <s v="SmartQ"/>
    <n v="35"/>
    <s v="Needs"/>
    <x v="12"/>
    <x v="1"/>
  </r>
  <r>
    <x v="2"/>
    <d v="2024-10-03T00:00:00"/>
    <s v="Thursday"/>
    <s v="Auto to Absolute BBQ"/>
    <n v="59"/>
    <s v="Wants"/>
    <x v="4"/>
    <x v="1"/>
  </r>
  <r>
    <x v="2"/>
    <d v="2024-10-03T00:00:00"/>
    <s v="Thursday"/>
    <s v="To home"/>
    <n v="32.5"/>
    <s v="Wants"/>
    <x v="4"/>
    <x v="1"/>
  </r>
  <r>
    <x v="2"/>
    <d v="2024-10-04T00:00:00"/>
    <s v="Friday"/>
    <s v="Zepto"/>
    <n v="273.5"/>
    <s v="Wants"/>
    <x v="9"/>
    <x v="1"/>
  </r>
  <r>
    <x v="2"/>
    <d v="2024-10-04T00:00:00"/>
    <s v="Friday"/>
    <s v="Swiggy"/>
    <n v="423"/>
    <s v="Wants"/>
    <x v="5"/>
    <x v="1"/>
  </r>
  <r>
    <x v="2"/>
    <d v="2024-10-05T00:00:00"/>
    <s v="Saturday"/>
    <s v="Papa's new phone"/>
    <n v="17528"/>
    <s v="Wants"/>
    <x v="2"/>
    <x v="1"/>
  </r>
  <r>
    <x v="2"/>
    <d v="2024-10-05T00:00:00"/>
    <s v="Saturday"/>
    <s v="Dandiya Night"/>
    <n v="750"/>
    <s v="Wants"/>
    <x v="10"/>
    <x v="1"/>
  </r>
  <r>
    <x v="2"/>
    <d v="2024-10-05T00:00:00"/>
    <s v="Saturday"/>
    <s v="Auto to Artistry"/>
    <n v="53.333333333333336"/>
    <s v="Wants"/>
    <x v="4"/>
    <x v="1"/>
  </r>
  <r>
    <x v="2"/>
    <d v="2024-10-05T00:00:00"/>
    <s v="Saturday"/>
    <s v="Food"/>
    <n v="400"/>
    <s v="Wants"/>
    <x v="5"/>
    <x v="1"/>
  </r>
  <r>
    <x v="2"/>
    <d v="2024-10-05T00:00:00"/>
    <s v="Saturday"/>
    <s v="Auto to home"/>
    <n v="81"/>
    <s v="Wants"/>
    <x v="4"/>
    <x v="1"/>
  </r>
  <r>
    <x v="2"/>
    <d v="2024-10-06T00:00:00"/>
    <s v="Sunday"/>
    <s v="Lunch"/>
    <n v="375"/>
    <s v="Wants"/>
    <x v="5"/>
    <x v="1"/>
  </r>
  <r>
    <x v="2"/>
    <d v="2024-10-06T00:00:00"/>
    <s v="Sunday"/>
    <s v="Scrub"/>
    <n v="92"/>
    <s v="Wants"/>
    <x v="17"/>
    <x v="1"/>
  </r>
  <r>
    <x v="2"/>
    <d v="2024-10-06T00:00:00"/>
    <s v="Sunday"/>
    <s v="Snacks"/>
    <n v="197"/>
    <s v="Wants"/>
    <x v="5"/>
    <x v="1"/>
  </r>
  <r>
    <x v="2"/>
    <d v="2024-10-07T00:00:00"/>
    <s v="Monday"/>
    <s v="Spotify Subscription"/>
    <n v="119"/>
    <s v="Wants"/>
    <x v="8"/>
    <x v="1"/>
  </r>
  <r>
    <x v="2"/>
    <d v="2024-10-08T00:00:00"/>
    <s v="Tuesday"/>
    <s v="Zepto"/>
    <n v="940"/>
    <s v="Needs"/>
    <x v="6"/>
    <x v="1"/>
  </r>
  <r>
    <x v="2"/>
    <d v="2024-10-08T00:00:00"/>
    <s v="Tuesday"/>
    <s v="Lunch"/>
    <n v="382"/>
    <s v="Wants"/>
    <x v="5"/>
    <x v="1"/>
  </r>
  <r>
    <x v="2"/>
    <d v="2024-10-09T00:00:00"/>
    <s v="Wednesday"/>
    <s v="Auto to office"/>
    <n v="87"/>
    <s v="Needs"/>
    <x v="15"/>
    <x v="1"/>
  </r>
  <r>
    <x v="2"/>
    <d v="2024-10-09T00:00:00"/>
    <s v="Wednesday"/>
    <s v="SmartQ"/>
    <n v="339"/>
    <s v="Needs"/>
    <x v="12"/>
    <x v="1"/>
  </r>
  <r>
    <x v="2"/>
    <d v="2024-10-09T00:00:00"/>
    <s v="Wednesday"/>
    <s v="YT premium 1 yr"/>
    <n v="1490"/>
    <s v="Wants"/>
    <x v="8"/>
    <x v="1"/>
  </r>
  <r>
    <x v="2"/>
    <d v="2024-10-09T00:00:00"/>
    <s v="Wednesday"/>
    <s v="Groceries"/>
    <n v="133"/>
    <s v="Needs"/>
    <x v="6"/>
    <x v="1"/>
  </r>
  <r>
    <x v="2"/>
    <d v="2024-10-09T00:00:00"/>
    <s v="Wednesday"/>
    <s v="Pista house"/>
    <n v="489"/>
    <s v="Wants"/>
    <x v="5"/>
    <x v="1"/>
  </r>
  <r>
    <x v="2"/>
    <d v="2024-10-09T00:00:00"/>
    <s v="Wednesday"/>
    <s v="Auto to home"/>
    <n v="39"/>
    <s v="Wants"/>
    <x v="4"/>
    <x v="1"/>
  </r>
  <r>
    <x v="2"/>
    <d v="2024-10-10T00:00:00"/>
    <s v="Thursday"/>
    <s v="Zepto"/>
    <n v="297.02"/>
    <s v="Wants"/>
    <x v="5"/>
    <x v="1"/>
  </r>
  <r>
    <x v="2"/>
    <d v="2024-10-10T00:00:00"/>
    <s v="Thursday"/>
    <s v="Auto to office"/>
    <n v="81"/>
    <s v="Needs"/>
    <x v="15"/>
    <x v="1"/>
  </r>
  <r>
    <x v="2"/>
    <d v="2024-10-10T00:00:00"/>
    <s v="Thursday"/>
    <s v="Auto to home"/>
    <n v="60"/>
    <s v="Needs"/>
    <x v="15"/>
    <x v="1"/>
  </r>
  <r>
    <x v="2"/>
    <d v="2024-10-10T00:00:00"/>
    <s v="Thursday"/>
    <s v="Dinner"/>
    <n v="458"/>
    <s v="Wants"/>
    <x v="5"/>
    <x v="1"/>
  </r>
  <r>
    <x v="2"/>
    <d v="2024-10-11T00:00:00"/>
    <s v="Friday"/>
    <s v="Zepto"/>
    <n v="514.57000000000005"/>
    <s v="Needs"/>
    <x v="6"/>
    <x v="1"/>
  </r>
  <r>
    <x v="2"/>
    <d v="2024-10-12T00:00:00"/>
    <s v="Saturday"/>
    <s v="Zepto"/>
    <n v="483.21"/>
    <s v="Wants"/>
    <x v="5"/>
    <x v="1"/>
  </r>
  <r>
    <x v="2"/>
    <d v="2024-10-12T00:00:00"/>
    <s v="Saturday"/>
    <s v="JioCinema"/>
    <n v="29"/>
    <s v="Wants"/>
    <x v="8"/>
    <x v="1"/>
  </r>
  <r>
    <x v="2"/>
    <d v="2024-10-12T00:00:00"/>
    <s v="Saturday"/>
    <s v="Dinner"/>
    <n v="586"/>
    <s v="Wants"/>
    <x v="5"/>
    <x v="1"/>
  </r>
  <r>
    <x v="2"/>
    <d v="2024-10-13T00:00:00"/>
    <s v="Sunday"/>
    <s v="Dinner"/>
    <n v="1185"/>
    <s v="Wants"/>
    <x v="5"/>
    <x v="1"/>
  </r>
  <r>
    <x v="2"/>
    <d v="2024-10-13T00:00:00"/>
    <s v="Sunday"/>
    <s v="Geoguessr"/>
    <n v="708"/>
    <s v="Wants"/>
    <x v="9"/>
    <x v="1"/>
  </r>
  <r>
    <x v="2"/>
    <d v="2024-10-14T00:00:00"/>
    <s v="Monday"/>
    <s v="Dinner"/>
    <n v="642"/>
    <s v="Wants"/>
    <x v="5"/>
    <x v="1"/>
  </r>
  <r>
    <x v="2"/>
    <d v="2024-10-14T00:00:00"/>
    <s v="Monday"/>
    <s v="Groceries"/>
    <n v="276"/>
    <s v="Wants"/>
    <x v="5"/>
    <x v="1"/>
  </r>
  <r>
    <x v="2"/>
    <d v="2024-10-15T00:00:00"/>
    <s v="Tuesday"/>
    <s v="Dinner"/>
    <n v="442.46"/>
    <s v="Wants"/>
    <x v="5"/>
    <x v="1"/>
  </r>
  <r>
    <x v="2"/>
    <d v="2024-10-16T00:00:00"/>
    <s v="Wednesday"/>
    <s v="Auto to office"/>
    <n v="121"/>
    <s v="Needs"/>
    <x v="15"/>
    <x v="1"/>
  </r>
  <r>
    <x v="2"/>
    <d v="2024-10-16T00:00:00"/>
    <s v="Wednesday"/>
    <s v="SmartQ"/>
    <n v="432"/>
    <s v="Needs"/>
    <x v="12"/>
    <x v="1"/>
  </r>
  <r>
    <x v="2"/>
    <d v="2024-10-16T00:00:00"/>
    <s v="Wednesday"/>
    <s v="Auto to office"/>
    <n v="37"/>
    <s v="Needs"/>
    <x v="15"/>
    <x v="1"/>
  </r>
  <r>
    <x v="2"/>
    <d v="2024-10-17T00:00:00"/>
    <s v="Thursday"/>
    <s v="Auto to office"/>
    <n v="61"/>
    <s v="Needs"/>
    <x v="15"/>
    <x v="1"/>
  </r>
  <r>
    <x v="2"/>
    <d v="2024-10-17T00:00:00"/>
    <s v="Thursday"/>
    <s v="SmartQ"/>
    <n v="369"/>
    <s v="Needs"/>
    <x v="12"/>
    <x v="1"/>
  </r>
  <r>
    <x v="2"/>
    <d v="2024-10-17T00:00:00"/>
    <s v="Thursday"/>
    <s v="Auto to office"/>
    <n v="34"/>
    <s v="Needs"/>
    <x v="15"/>
    <x v="1"/>
  </r>
  <r>
    <x v="2"/>
    <d v="2024-10-17T00:00:00"/>
    <s v="Thursday"/>
    <s v="Zepto"/>
    <n v="234.88"/>
    <s v="Wants"/>
    <x v="5"/>
    <x v="1"/>
  </r>
  <r>
    <x v="2"/>
    <d v="2024-10-18T00:00:00"/>
    <s v="Friday"/>
    <s v="Auto to office"/>
    <n v="121"/>
    <s v="Needs"/>
    <x v="15"/>
    <x v="1"/>
  </r>
  <r>
    <x v="2"/>
    <d v="2024-10-18T00:00:00"/>
    <s v="Friday"/>
    <s v="SmartQ"/>
    <n v="432"/>
    <s v="Needs"/>
    <x v="12"/>
    <x v="1"/>
  </r>
  <r>
    <x v="2"/>
    <d v="2024-10-18T00:00:00"/>
    <s v="Friday"/>
    <s v="Auto to office"/>
    <n v="37"/>
    <s v="Needs"/>
    <x v="15"/>
    <x v="1"/>
  </r>
  <r>
    <x v="2"/>
    <d v="2024-10-19T00:00:00"/>
    <s v="Saturday"/>
    <s v="Auto to Naintara"/>
    <n v="40"/>
    <s v="Wants"/>
    <x v="4"/>
    <x v="1"/>
  </r>
  <r>
    <x v="2"/>
    <d v="2024-10-19T00:00:00"/>
    <s v="Saturday"/>
    <s v="Paradise"/>
    <n v="611.5"/>
    <s v="Wants"/>
    <x v="5"/>
    <x v="1"/>
  </r>
  <r>
    <x v="2"/>
    <d v="2024-10-19T00:00:00"/>
    <s v="Saturday"/>
    <s v="Auto to Paradise"/>
    <n v="20"/>
    <s v="Wants"/>
    <x v="4"/>
    <x v="1"/>
  </r>
  <r>
    <x v="2"/>
    <d v="2024-10-19T00:00:00"/>
    <s v="Saturday"/>
    <s v="Shilparamam"/>
    <n v="60"/>
    <s v="Wants"/>
    <x v="10"/>
    <x v="1"/>
  </r>
  <r>
    <x v="2"/>
    <d v="2024-10-19T00:00:00"/>
    <s v="Saturday"/>
    <s v="Bike to Thrivesome"/>
    <n v="60"/>
    <s v="Wants"/>
    <x v="4"/>
    <x v="1"/>
  </r>
  <r>
    <x v="2"/>
    <d v="2024-10-19T00:00:00"/>
    <s v="Saturday"/>
    <s v="Thrivesome"/>
    <n v="109.66"/>
    <s v="Wants"/>
    <x v="5"/>
    <x v="1"/>
  </r>
  <r>
    <x v="2"/>
    <d v="2024-10-19T00:00:00"/>
    <s v="Saturday"/>
    <s v="Auto to Pista House"/>
    <n v="36"/>
    <s v="Wants"/>
    <x v="4"/>
    <x v="1"/>
  </r>
  <r>
    <x v="2"/>
    <d v="2024-10-19T00:00:00"/>
    <s v="Saturday"/>
    <s v="Pista House"/>
    <n v="661.33"/>
    <s v="Wants"/>
    <x v="5"/>
    <x v="1"/>
  </r>
  <r>
    <x v="2"/>
    <d v="2024-10-19T00:00:00"/>
    <s v="Saturday"/>
    <s v="Auto to home"/>
    <n v="73"/>
    <s v="Wants"/>
    <x v="4"/>
    <x v="1"/>
  </r>
  <r>
    <x v="2"/>
    <d v="2024-10-20T00:00:00"/>
    <s v="Sunday"/>
    <s v="Zepto"/>
    <n v="1060"/>
    <s v="Needs"/>
    <x v="6"/>
    <x v="1"/>
  </r>
  <r>
    <x v="2"/>
    <d v="2024-10-20T00:00:00"/>
    <s v="Sunday"/>
    <s v="Cleaner Dusshera"/>
    <n v="166.67"/>
    <s v="Needs"/>
    <x v="18"/>
    <x v="1"/>
  </r>
  <r>
    <x v="2"/>
    <d v="2024-10-20T00:00:00"/>
    <s v="Sunday"/>
    <s v="Auto to Restaurant"/>
    <n v="40"/>
    <s v="Wants"/>
    <x v="4"/>
    <x v="1"/>
  </r>
  <r>
    <x v="2"/>
    <d v="2024-10-20T00:00:00"/>
    <s v="Sunday"/>
    <s v="Food"/>
    <n v="350"/>
    <s v="Wants"/>
    <x v="5"/>
    <x v="1"/>
  </r>
  <r>
    <x v="2"/>
    <d v="2024-10-20T00:00:00"/>
    <s v="Sunday"/>
    <s v="Movie"/>
    <n v="250"/>
    <s v="Wants"/>
    <x v="10"/>
    <x v="1"/>
  </r>
  <r>
    <x v="2"/>
    <d v="2024-10-20T00:00:00"/>
    <s v="Sunday"/>
    <s v="Bike Home"/>
    <n v="65"/>
    <s v="Wants"/>
    <x v="4"/>
    <x v="1"/>
  </r>
  <r>
    <x v="2"/>
    <d v="2024-10-21T00:00:00"/>
    <s v="Monday"/>
    <s v="Zepto"/>
    <n v="672.42"/>
    <s v="Wants"/>
    <x v="5"/>
    <x v="1"/>
  </r>
  <r>
    <x v="2"/>
    <d v="2024-10-22T00:00:00"/>
    <s v="Tuesday"/>
    <s v="Netflix"/>
    <n v="199"/>
    <s v="Wants"/>
    <x v="8"/>
    <x v="1"/>
  </r>
  <r>
    <x v="2"/>
    <d v="2024-10-22T00:00:00"/>
    <s v="Tuesday"/>
    <s v="Zepto"/>
    <n v="538.75"/>
    <s v="Wants"/>
    <x v="5"/>
    <x v="1"/>
  </r>
  <r>
    <x v="2"/>
    <d v="2024-10-22T00:00:00"/>
    <s v="Tuesday"/>
    <s v="Rebel mrktplc"/>
    <n v="332"/>
    <s v="Wants"/>
    <x v="5"/>
    <x v="1"/>
  </r>
  <r>
    <x v="2"/>
    <d v="2024-10-22T00:00:00"/>
    <s v="Tuesday"/>
    <s v="Auto to Bhrammaraamba"/>
    <n v="75"/>
    <s v="Wants"/>
    <x v="4"/>
    <x v="1"/>
  </r>
  <r>
    <x v="2"/>
    <d v="2024-10-22T00:00:00"/>
    <s v="Tuesday"/>
    <s v="Movie"/>
    <n v="212.86"/>
    <s v="Wants"/>
    <x v="10"/>
    <x v="1"/>
  </r>
  <r>
    <x v="2"/>
    <d v="2024-10-22T00:00:00"/>
    <s v="Tuesday"/>
    <s v="Food"/>
    <n v="120"/>
    <s v="Wants"/>
    <x v="5"/>
    <x v="1"/>
  </r>
  <r>
    <x v="2"/>
    <d v="2024-10-22T00:00:00"/>
    <s v="Tuesday"/>
    <s v="Auto to home"/>
    <n v="100"/>
    <s v="Wants"/>
    <x v="4"/>
    <x v="1"/>
  </r>
  <r>
    <x v="2"/>
    <d v="2024-10-23T00:00:00"/>
    <s v="Wednesday"/>
    <s v="Auto to office"/>
    <n v="97"/>
    <s v="Needs"/>
    <x v="15"/>
    <x v="1"/>
  </r>
  <r>
    <x v="2"/>
    <d v="2024-10-24T00:00:00"/>
    <s v="Thursday"/>
    <s v="Auto to office"/>
    <n v="87"/>
    <s v="Needs"/>
    <x v="15"/>
    <x v="1"/>
  </r>
  <r>
    <x v="2"/>
    <d v="2024-10-24T00:00:00"/>
    <s v="Thursday"/>
    <s v="Food"/>
    <n v="120"/>
    <s v="Needs"/>
    <x v="12"/>
    <x v="1"/>
  </r>
  <r>
    <x v="2"/>
    <d v="2024-10-24T00:00:00"/>
    <s v="Thursday"/>
    <s v="Dinner"/>
    <n v="682"/>
    <s v="Wants"/>
    <x v="5"/>
    <x v="1"/>
  </r>
  <r>
    <x v="2"/>
    <d v="2024-10-24T00:00:00"/>
    <s v="Thursday"/>
    <s v="Auto to home"/>
    <n v="61"/>
    <s v="Needs"/>
    <x v="15"/>
    <x v="1"/>
  </r>
  <r>
    <x v="2"/>
    <d v="2024-10-25T00:00:00"/>
    <s v="Friday"/>
    <s v="Auto to Office"/>
    <n v="73"/>
    <s v="Needs"/>
    <x v="15"/>
    <x v="1"/>
  </r>
  <r>
    <x v="2"/>
    <d v="2024-10-25T00:00:00"/>
    <s v="Friday"/>
    <s v="Office lunch"/>
    <n v="190"/>
    <s v="Needs"/>
    <x v="12"/>
    <x v="1"/>
  </r>
  <r>
    <x v="2"/>
    <d v="2024-10-25T00:00:00"/>
    <s v="Friday"/>
    <s v="Office Dinner"/>
    <n v="95"/>
    <s v="Needs"/>
    <x v="12"/>
    <x v="1"/>
  </r>
  <r>
    <x v="2"/>
    <d v="2024-10-25T00:00:00"/>
    <s v="Friday"/>
    <s v="Auto to madhapur"/>
    <n v="25"/>
    <s v="Wants"/>
    <x v="4"/>
    <x v="1"/>
  </r>
  <r>
    <x v="2"/>
    <d v="2024-10-25T00:00:00"/>
    <s v="Friday"/>
    <s v="Escape Time: Escape room"/>
    <n v="400"/>
    <s v="Wants"/>
    <x v="10"/>
    <x v="1"/>
  </r>
  <r>
    <x v="2"/>
    <d v="2024-10-25T00:00:00"/>
    <s v="Friday"/>
    <s v="Dinner @ Café Madras Coffee"/>
    <n v="372"/>
    <s v="Wants"/>
    <x v="5"/>
    <x v="1"/>
  </r>
  <r>
    <x v="2"/>
    <d v="2024-10-25T00:00:00"/>
    <s v="Friday"/>
    <s v="Cab home"/>
    <n v="30.75"/>
    <s v="Wants"/>
    <x v="4"/>
    <x v="1"/>
  </r>
  <r>
    <x v="2"/>
    <d v="2024-10-26T00:00:00"/>
    <s v="Saturday"/>
    <s v="Backpack for Shlok"/>
    <n v="6993.5"/>
    <s v="Wants"/>
    <x v="2"/>
    <x v="1"/>
  </r>
  <r>
    <x v="2"/>
    <d v="2024-10-26T00:00:00"/>
    <s v="Saturday"/>
    <s v="Backpack for me"/>
    <n v="5597.5"/>
    <s v="Wants"/>
    <x v="9"/>
    <x v="1"/>
  </r>
  <r>
    <x v="2"/>
    <d v="2024-10-26T00:00:00"/>
    <s v="Saturday"/>
    <s v="Some food"/>
    <n v="294"/>
    <s v="Wants"/>
    <x v="5"/>
    <x v="1"/>
  </r>
  <r>
    <x v="2"/>
    <d v="2024-10-26T00:00:00"/>
    <s v="Saturday"/>
    <s v="Zepto"/>
    <n v="380"/>
    <s v="Needs"/>
    <x v="6"/>
    <x v="1"/>
  </r>
  <r>
    <x v="2"/>
    <d v="2024-10-26T00:00:00"/>
    <s v="Saturday"/>
    <s v="Rapido to LP's pg"/>
    <n v="58"/>
    <s v="Wants"/>
    <x v="4"/>
    <x v="1"/>
  </r>
  <r>
    <x v="2"/>
    <d v="2024-10-26T00:00:00"/>
    <s v="Saturday"/>
    <s v="Saree for mom"/>
    <n v="8000"/>
    <s v="Wants"/>
    <x v="2"/>
    <x v="1"/>
  </r>
  <r>
    <x v="2"/>
    <d v="2024-10-26T00:00:00"/>
    <s v="Saturday"/>
    <s v="Bhelpuri + Dinner @ Dosthagaallu Mandi "/>
    <n v="274"/>
    <s v="Wants"/>
    <x v="5"/>
    <x v="1"/>
  </r>
  <r>
    <x v="2"/>
    <d v="2024-10-26T00:00:00"/>
    <s v="Saturday"/>
    <s v="Auto to home"/>
    <n v="48"/>
    <s v="Wants"/>
    <x v="4"/>
    <x v="1"/>
  </r>
  <r>
    <x v="2"/>
    <d v="2024-10-26T00:00:00"/>
    <s v="Saturday"/>
    <s v="Airtell Bill"/>
    <n v="529.91999999999996"/>
    <s v="Wants"/>
    <x v="4"/>
    <x v="1"/>
  </r>
  <r>
    <x v="2"/>
    <d v="2024-10-26T00:00:00"/>
    <s v="Saturday"/>
    <s v="Google Drive 100GB"/>
    <n v="699"/>
    <s v="Needs"/>
    <x v="11"/>
    <x v="1"/>
  </r>
  <r>
    <x v="2"/>
    <d v="2024-10-27T00:00:00"/>
    <s v="Sunday"/>
    <s v="Lunch"/>
    <n v="595"/>
    <s v="Wants"/>
    <x v="5"/>
    <x v="1"/>
  </r>
  <r>
    <x v="2"/>
    <d v="2024-10-27T00:00:00"/>
    <s v="Sunday"/>
    <s v="Party supplies xd"/>
    <n v="365.88"/>
    <s v="Wants"/>
    <x v="5"/>
    <x v="1"/>
  </r>
  <r>
    <x v="2"/>
    <d v="2024-10-27T00:00:00"/>
    <s v="Sunday"/>
    <s v="Scrabble"/>
    <n v="300"/>
    <s v="Wants"/>
    <x v="9"/>
    <x v="1"/>
  </r>
  <r>
    <x v="2"/>
    <d v="2024-10-28T00:00:00"/>
    <s v="Monday"/>
    <s v="Lunch"/>
    <n v="704"/>
    <s v="Wants"/>
    <x v="5"/>
    <x v="1"/>
  </r>
  <r>
    <x v="2"/>
    <d v="2024-10-28T00:00:00"/>
    <s v="Monday"/>
    <s v="to office"/>
    <n v="59"/>
    <s v="Needs"/>
    <x v="15"/>
    <x v="1"/>
  </r>
  <r>
    <x v="2"/>
    <d v="2024-10-28T00:00:00"/>
    <s v="Monday"/>
    <s v="Mosambi Juice"/>
    <n v="70"/>
    <s v="Needs"/>
    <x v="12"/>
    <x v="1"/>
  </r>
  <r>
    <x v="2"/>
    <d v="2024-10-29T00:00:00"/>
    <s v="Tuesday"/>
    <s v="Karam Podi + Pulihora + Gongura pickle"/>
    <n v="353.69"/>
    <s v="Wants"/>
    <x v="2"/>
    <x v="4"/>
  </r>
  <r>
    <x v="2"/>
    <d v="2024-10-29T00:00:00"/>
    <s v="Tuesday"/>
    <s v="Biriyani"/>
    <n v="231"/>
    <s v="Wants"/>
    <x v="2"/>
    <x v="4"/>
  </r>
  <r>
    <x v="2"/>
    <d v="2024-10-29T00:00:00"/>
    <s v="Tuesday"/>
    <s v="Putharekulu"/>
    <n v="1400"/>
    <s v="Wants"/>
    <x v="2"/>
    <x v="4"/>
  </r>
  <r>
    <x v="2"/>
    <d v="2024-10-29T00:00:00"/>
    <s v="Tuesday"/>
    <s v="Steam Giftcard"/>
    <n v="2000"/>
    <s v="Wants"/>
    <x v="9"/>
    <x v="1"/>
  </r>
  <r>
    <x v="2"/>
    <d v="2024-10-29T00:00:00"/>
    <s v="Tuesday"/>
    <s v="Lunch"/>
    <n v="550"/>
    <s v="Wants"/>
    <x v="5"/>
    <x v="1"/>
  </r>
  <r>
    <x v="2"/>
    <d v="2024-10-29T00:00:00"/>
    <s v="Tuesday"/>
    <s v="To airport"/>
    <n v="250"/>
    <s v="Wants"/>
    <x v="4"/>
    <x v="4"/>
  </r>
  <r>
    <x v="2"/>
    <d v="2024-10-29T00:00:00"/>
    <s v="Tuesday"/>
    <s v="Jio Recharge"/>
    <n v="349"/>
    <s v="Needs"/>
    <x v="14"/>
    <x v="1"/>
  </r>
  <r>
    <x v="2"/>
    <d v="2024-10-30T00:00:00"/>
    <s v="Wednesday"/>
    <s v="To Lulu Mall"/>
    <n v="145"/>
    <s v="Wants"/>
    <x v="4"/>
    <x v="4"/>
  </r>
  <r>
    <x v="2"/>
    <d v="2024-10-30T00:00:00"/>
    <s v="Wednesday"/>
    <s v="Souled Store Hoodie for Shlok"/>
    <n v="1799"/>
    <s v="Wants"/>
    <x v="2"/>
    <x v="4"/>
  </r>
  <r>
    <x v="2"/>
    <d v="2024-10-30T00:00:00"/>
    <s v="Wednesday"/>
    <s v="Souled Store Tshirt"/>
    <n v="1799"/>
    <s v="Wants"/>
    <x v="3"/>
    <x v="1"/>
  </r>
  <r>
    <x v="2"/>
    <d v="2024-10-30T00:00:00"/>
    <s v="Wednesday"/>
    <s v="Seva Chikan Kurtas + Pyjama"/>
    <n v="3880"/>
    <s v="Wants"/>
    <x v="3"/>
    <x v="1"/>
  </r>
  <r>
    <x v="2"/>
    <d v="2024-10-30T00:00:00"/>
    <s v="Wednesday"/>
    <s v="Zudio Sweater"/>
    <n v="799"/>
    <s v="Wants"/>
    <x v="3"/>
    <x v="1"/>
  </r>
  <r>
    <x v="2"/>
    <d v="2024-10-30T00:00:00"/>
    <s v="Wednesday"/>
    <s v="Zudio other shit"/>
    <n v="462"/>
    <s v="Wants"/>
    <x v="9"/>
    <x v="4"/>
  </r>
  <r>
    <x v="2"/>
    <d v="2024-10-30T00:00:00"/>
    <s v="Wednesday"/>
    <s v="Crossword hindi books"/>
    <n v="673"/>
    <s v="Wants"/>
    <x v="9"/>
    <x v="4"/>
  </r>
  <r>
    <x v="2"/>
    <d v="2024-10-30T00:00:00"/>
    <s v="Wednesday"/>
    <s v="Food"/>
    <n v="880.97"/>
    <s v="Wants"/>
    <x v="5"/>
    <x v="4"/>
  </r>
  <r>
    <x v="2"/>
    <d v="2024-10-30T00:00:00"/>
    <s v="Wednesday"/>
    <s v="Hamleys 1000 pieces puzzle"/>
    <n v="899"/>
    <s v="Wants"/>
    <x v="9"/>
    <x v="4"/>
  </r>
  <r>
    <x v="2"/>
    <d v="2024-10-30T00:00:00"/>
    <s v="Wednesday"/>
    <s v="Market 99 chocolate"/>
    <n v="180"/>
    <s v="Wants"/>
    <x v="5"/>
    <x v="4"/>
  </r>
  <r>
    <x v="2"/>
    <d v="2024-10-30T00:00:00"/>
    <s v="Wednesday"/>
    <s v="Levi's Jeans"/>
    <n v="3299"/>
    <s v="Wants"/>
    <x v="3"/>
    <x v="1"/>
  </r>
  <r>
    <x v="2"/>
    <d v="2024-10-30T00:00:00"/>
    <s v="Wednesday"/>
    <s v="To Home"/>
    <n v="144"/>
    <s v="Wants"/>
    <x v="4"/>
    <x v="4"/>
  </r>
  <r>
    <x v="3"/>
    <d v="2024-11-01T00:00:00"/>
    <s v="Friday"/>
    <s v="Myntra"/>
    <n v="1693"/>
    <s v="Wants"/>
    <x v="3"/>
    <x v="1"/>
  </r>
  <r>
    <x v="3"/>
    <d v="2024-11-01T00:00:00"/>
    <s v="Friday"/>
    <s v="Souled Store"/>
    <n v="3391"/>
    <s v="Wants"/>
    <x v="3"/>
    <x v="1"/>
  </r>
  <r>
    <x v="3"/>
    <d v="2024-11-01T00:00:00"/>
    <s v="Friday"/>
    <s v="BombayShavingCompany"/>
    <n v="999"/>
    <s v="Wants"/>
    <x v="17"/>
    <x v="1"/>
  </r>
  <r>
    <x v="3"/>
    <d v="2024-11-01T00:00:00"/>
    <s v="Friday"/>
    <s v="Cinnabon @ Lulu"/>
    <n v="425"/>
    <s v="Wants"/>
    <x v="5"/>
    <x v="4"/>
  </r>
  <r>
    <x v="3"/>
    <d v="2024-11-01T00:00:00"/>
    <s v="Friday"/>
    <s v="Hamleys mechanics sets"/>
    <n v="1098"/>
    <s v="Wants"/>
    <x v="2"/>
    <x v="4"/>
  </r>
  <r>
    <x v="3"/>
    <d v="2024-11-01T00:00:00"/>
    <s v="Friday"/>
    <s v="Food @ wow chicken, Lulu"/>
    <n v="916"/>
    <s v="Wants"/>
    <x v="5"/>
    <x v="4"/>
  </r>
  <r>
    <x v="3"/>
    <d v="2024-11-01T00:00:00"/>
    <s v="Friday"/>
    <s v="Kings Kulfi"/>
    <n v="500"/>
    <s v="Wants"/>
    <x v="5"/>
    <x v="4"/>
  </r>
  <r>
    <x v="3"/>
    <d v="2024-11-01T00:00:00"/>
    <s v="Friday"/>
    <s v="Auto to home"/>
    <n v="147"/>
    <s v="Wants"/>
    <x v="4"/>
    <x v="4"/>
  </r>
  <r>
    <x v="3"/>
    <d v="2024-11-02T00:00:00"/>
    <s v="Saturday"/>
    <s v="Blinkit: chicken vgera"/>
    <n v="388"/>
    <s v="Needs"/>
    <x v="6"/>
    <x v="4"/>
  </r>
  <r>
    <x v="3"/>
    <d v="2024-11-02T00:00:00"/>
    <s v="Saturday"/>
    <s v="Rent + Maintainence"/>
    <n v="20666.666666666668"/>
    <s v="Needs"/>
    <x v="1"/>
    <x v="1"/>
  </r>
  <r>
    <x v="3"/>
    <d v="2024-11-02T00:00:00"/>
    <s v="Saturday"/>
    <s v="Mithai for hyd"/>
    <n v="1991"/>
    <s v="Wants"/>
    <x v="2"/>
    <x v="4"/>
  </r>
  <r>
    <x v="3"/>
    <d v="2024-11-02T00:00:00"/>
    <s v="Saturday"/>
    <s v="aur saman"/>
    <n v="358"/>
    <s v="Needs"/>
    <x v="6"/>
    <x v="4"/>
  </r>
  <r>
    <x v="3"/>
    <d v="2024-11-02T00:00:00"/>
    <s v="Saturday"/>
    <s v="Bhai duj gift to harshu and didi"/>
    <n v="4000"/>
    <s v="Wants"/>
    <x v="2"/>
    <x v="4"/>
  </r>
  <r>
    <x v="3"/>
    <d v="2024-11-02T00:00:00"/>
    <s v="Saturday"/>
    <s v="Shuttle bus till home"/>
    <n v="250"/>
    <s v="Wants"/>
    <x v="4"/>
    <x v="4"/>
  </r>
  <r>
    <x v="3"/>
    <d v="2024-11-03T00:00:00"/>
    <s v="Sunday"/>
    <s v="Hangers"/>
    <n v="303"/>
    <s v="Wants"/>
    <x v="17"/>
    <x v="1"/>
  </r>
  <r>
    <x v="3"/>
    <d v="2024-11-03T00:00:00"/>
    <s v="Sunday"/>
    <s v="Maggi"/>
    <n v="158"/>
    <s v="Needs"/>
    <x v="6"/>
    <x v="1"/>
  </r>
  <r>
    <x v="3"/>
    <d v="2024-11-03T00:00:00"/>
    <s v="Sunday"/>
    <s v="Lunch"/>
    <n v="573"/>
    <s v="Wants"/>
    <x v="5"/>
    <x v="1"/>
  </r>
  <r>
    <x v="3"/>
    <d v="2024-11-03T00:00:00"/>
    <s v="Sunday"/>
    <s v="Steam auto mech battler game"/>
    <n v="690"/>
    <s v="Wants"/>
    <x v="9"/>
    <x v="1"/>
  </r>
  <r>
    <x v="3"/>
    <d v="2024-11-03T00:00:00"/>
    <s v="Sunday"/>
    <s v="Myntra"/>
    <n v="1537"/>
    <s v="Wants"/>
    <x v="3"/>
    <x v="1"/>
  </r>
  <r>
    <x v="3"/>
    <d v="2024-11-04T00:00:00"/>
    <s v="Monday"/>
    <s v="SIP"/>
    <n v="15000"/>
    <s v="Investments"/>
    <x v="13"/>
    <x v="1"/>
  </r>
  <r>
    <x v="3"/>
    <d v="2024-11-04T00:00:00"/>
    <s v="Monday"/>
    <s v="Lunch"/>
    <n v="823"/>
    <s v="Wants"/>
    <x v="5"/>
    <x v="1"/>
  </r>
  <r>
    <x v="3"/>
    <d v="2024-11-04T00:00:00"/>
    <s v="Monday"/>
    <s v="Cleaner"/>
    <n v="666.66666666666663"/>
    <s v="Needs"/>
    <x v="18"/>
    <x v="1"/>
  </r>
  <r>
    <x v="3"/>
    <d v="2024-11-04T00:00:00"/>
    <s v="Monday"/>
    <s v="To movie theatre"/>
    <n v="32"/>
    <s v="Wants"/>
    <x v="4"/>
    <x v="3"/>
  </r>
  <r>
    <x v="3"/>
    <d v="2024-11-04T00:00:00"/>
    <s v="Monday"/>
    <s v="amaran movie"/>
    <n v="317.43"/>
    <s v="Wants"/>
    <x v="10"/>
    <x v="3"/>
  </r>
  <r>
    <x v="3"/>
    <d v="2024-11-04T00:00:00"/>
    <s v="Monday"/>
    <s v="sandwich + popcorn"/>
    <n v="204"/>
    <s v="Wants"/>
    <x v="5"/>
    <x v="3"/>
  </r>
  <r>
    <x v="3"/>
    <d v="2024-11-04T00:00:00"/>
    <s v="Monday"/>
    <s v="to home"/>
    <n v="65"/>
    <s v="Wants"/>
    <x v="4"/>
    <x v="3"/>
  </r>
  <r>
    <x v="3"/>
    <d v="2024-11-05T00:00:00"/>
    <s v="Tuesday"/>
    <s v="Mutton curry ingredients"/>
    <n v="682"/>
    <s v="Needs"/>
    <x v="6"/>
    <x v="1"/>
  </r>
  <r>
    <x v="3"/>
    <d v="2024-11-05T00:00:00"/>
    <s v="Tuesday"/>
    <s v="Lunch"/>
    <n v="278"/>
    <s v="Wants"/>
    <x v="5"/>
    <x v="1"/>
  </r>
  <r>
    <x v="3"/>
    <d v="2024-11-05T00:00:00"/>
    <s v="Tuesday"/>
    <s v="Home stuff"/>
    <n v="144"/>
    <s v="Needs"/>
    <x v="6"/>
    <x v="1"/>
  </r>
  <r>
    <x v="3"/>
    <d v="2024-11-05T00:00:00"/>
    <s v="Tuesday"/>
    <s v="Pani"/>
    <n v="30"/>
    <s v="Needs"/>
    <x v="6"/>
    <x v="1"/>
  </r>
  <r>
    <x v="3"/>
    <d v="2024-11-05T00:00:00"/>
    <s v="Tuesday"/>
    <s v="zepto"/>
    <n v="325"/>
    <s v="Wants"/>
    <x v="5"/>
    <x v="1"/>
  </r>
  <r>
    <x v="3"/>
    <d v="2024-11-06T00:00:00"/>
    <s v="Wednesday"/>
    <s v="Auto to office"/>
    <n v="85"/>
    <s v="Needs"/>
    <x v="15"/>
    <x v="1"/>
  </r>
  <r>
    <x v="3"/>
    <d v="2024-11-07T00:00:00"/>
    <s v="Thursday"/>
    <s v="Auto to office"/>
    <n v="80"/>
    <s v="Needs"/>
    <x v="15"/>
    <x v="1"/>
  </r>
  <r>
    <x v="3"/>
    <d v="2024-11-07T00:00:00"/>
    <s v="Thursday"/>
    <s v="SmartQ"/>
    <n v="174"/>
    <s v="Needs"/>
    <x v="12"/>
    <x v="1"/>
  </r>
  <r>
    <x v="3"/>
    <d v="2024-11-07T00:00:00"/>
    <s v="Thursday"/>
    <s v="Pista House+kulfi"/>
    <n v="371"/>
    <s v="Wants"/>
    <x v="5"/>
    <x v="1"/>
  </r>
  <r>
    <x v="3"/>
    <d v="2024-11-07T00:00:00"/>
    <s v="Thursday"/>
    <s v="Movie"/>
    <n v="330"/>
    <s v="Wants"/>
    <x v="10"/>
    <x v="3"/>
  </r>
  <r>
    <x v="3"/>
    <d v="2024-11-07T00:00:00"/>
    <s v="Thursday"/>
    <s v="Auto to home"/>
    <n v="100"/>
    <s v="Wants"/>
    <x v="4"/>
    <x v="3"/>
  </r>
  <r>
    <x v="3"/>
    <d v="2024-11-07T00:00:00"/>
    <s v="Thursday"/>
    <s v="Spotify"/>
    <n v="119"/>
    <s v="Wants"/>
    <x v="8"/>
    <x v="1"/>
  </r>
  <r>
    <x v="3"/>
    <d v="2024-11-07T00:00:00"/>
    <s v="Thursday"/>
    <s v="Vizag Trip::Train Tickets"/>
    <n v="2200"/>
    <s v="Needs"/>
    <x v="0"/>
    <x v="5"/>
  </r>
  <r>
    <x v="3"/>
    <d v="2024-11-07T00:00:00"/>
    <s v="Thursday"/>
    <s v="Vizag Trip::Araku resort payment"/>
    <n v="3200"/>
    <s v="Wants"/>
    <x v="10"/>
    <x v="5"/>
  </r>
  <r>
    <x v="3"/>
    <d v="2024-11-08T00:00:00"/>
    <s v="Friday"/>
    <s v="Auto to office"/>
    <n v="58"/>
    <s v="Needs"/>
    <x v="15"/>
    <x v="1"/>
  </r>
  <r>
    <x v="3"/>
    <d v="2024-11-08T00:00:00"/>
    <s v="Friday"/>
    <s v="SmartQ"/>
    <n v="416"/>
    <s v="Needs"/>
    <x v="12"/>
    <x v="1"/>
  </r>
  <r>
    <x v="3"/>
    <d v="2024-11-08T00:00:00"/>
    <s v="Friday"/>
    <s v="Groceries at night"/>
    <n v="181.66666666666669"/>
    <s v="Needs"/>
    <x v="15"/>
    <x v="1"/>
  </r>
  <r>
    <x v="3"/>
    <d v="2024-11-09T00:00:00"/>
    <s v="Saturday"/>
    <s v="Auto to badminton"/>
    <n v="60"/>
    <s v="Wants"/>
    <x v="4"/>
    <x v="6"/>
  </r>
  <r>
    <x v="3"/>
    <d v="2024-11-09T00:00:00"/>
    <s v="Saturday"/>
    <s v="Badminton shuttles+court+etc"/>
    <n v="557"/>
    <s v="Wants"/>
    <x v="10"/>
    <x v="6"/>
  </r>
  <r>
    <x v="3"/>
    <d v="2024-11-09T00:00:00"/>
    <s v="Saturday"/>
    <s v="Auto from badminton"/>
    <n v="60"/>
    <s v="Wants"/>
    <x v="4"/>
    <x v="6"/>
  </r>
  <r>
    <x v="3"/>
    <d v="2024-11-09T00:00:00"/>
    <s v="Saturday"/>
    <s v="Brunch from Saharsh Udipi Grand"/>
    <n v="301"/>
    <s v="Wants"/>
    <x v="5"/>
    <x v="1"/>
  </r>
  <r>
    <x v="3"/>
    <d v="2024-11-09T00:00:00"/>
    <s v="Saturday"/>
    <s v="Zepto"/>
    <n v="665"/>
    <s v="Wants"/>
    <x v="9"/>
    <x v="1"/>
  </r>
  <r>
    <x v="3"/>
    <d v="2024-11-09T00:00:00"/>
    <s v="Saturday"/>
    <s v="Flight tickets (hyd to lko, del to hyd)"/>
    <n v="14176"/>
    <s v="Needs"/>
    <x v="0"/>
    <x v="7"/>
  </r>
  <r>
    <x v="3"/>
    <d v="2024-11-10T00:00:00"/>
    <s v="Sunday"/>
    <s v="Clothes"/>
    <n v="1767"/>
    <s v="Wants"/>
    <x v="3"/>
    <x v="1"/>
  </r>
  <r>
    <x v="3"/>
    <d v="2024-11-10T00:00:00"/>
    <s v="Sunday"/>
    <s v="Zepto"/>
    <n v="393"/>
    <s v="Needs"/>
    <x v="6"/>
    <x v="1"/>
  </r>
  <r>
    <x v="3"/>
    <d v="2024-11-10T00:00:00"/>
    <s v="Sunday"/>
    <s v="Swiggy"/>
    <n v="183.5"/>
    <s v="Wants"/>
    <x v="5"/>
    <x v="1"/>
  </r>
  <r>
    <x v="3"/>
    <d v="2024-11-11T00:00:00"/>
    <s v="Monday"/>
    <s v="Amazon"/>
    <n v="668"/>
    <s v="Wants"/>
    <x v="17"/>
    <x v="1"/>
  </r>
  <r>
    <x v="3"/>
    <d v="2024-11-11T00:00:00"/>
    <s v="Monday"/>
    <s v="Zepto"/>
    <n v="600"/>
    <s v="Needs"/>
    <x v="6"/>
    <x v="1"/>
  </r>
  <r>
    <x v="3"/>
    <d v="2024-11-11T00:00:00"/>
    <s v="Monday"/>
    <s v="Shaving/soap vgera"/>
    <n v="875"/>
    <s v="Wants"/>
    <x v="17"/>
    <x v="1"/>
  </r>
  <r>
    <x v="3"/>
    <d v="2024-11-12T00:00:00"/>
    <s v="Tuesday"/>
    <s v="Food"/>
    <n v="620"/>
    <s v="Wants"/>
    <x v="5"/>
    <x v="1"/>
  </r>
  <r>
    <x v="3"/>
    <d v="2024-11-12T00:00:00"/>
    <s v="Tuesday"/>
    <s v="House stuff"/>
    <n v="1000"/>
    <s v="Wants"/>
    <x v="17"/>
    <x v="1"/>
  </r>
  <r>
    <x v="3"/>
    <d v="2024-11-13T00:00:00"/>
    <s v="Wednesday"/>
    <s v="Auto to office"/>
    <n v="90"/>
    <s v="Needs"/>
    <x v="15"/>
    <x v="1"/>
  </r>
  <r>
    <x v="3"/>
    <d v="2024-11-13T00:00:00"/>
    <s v="Wednesday"/>
    <s v="SmartQ"/>
    <n v="646"/>
    <s v="Needs"/>
    <x v="12"/>
    <x v="1"/>
  </r>
  <r>
    <x v="3"/>
    <d v="2024-11-13T00:00:00"/>
    <s v="Wednesday"/>
    <s v="Auto to home"/>
    <n v="73"/>
    <s v="Needs"/>
    <x v="15"/>
    <x v="1"/>
  </r>
  <r>
    <x v="3"/>
    <d v="2024-11-13T00:00:00"/>
    <s v="Wednesday"/>
    <s v="Jio Cinema"/>
    <n v="29"/>
    <s v="Wants"/>
    <x v="8"/>
    <x v="1"/>
  </r>
  <r>
    <x v="3"/>
    <d v="2024-11-14T00:00:00"/>
    <s v="Thursday"/>
    <s v="Auto to office"/>
    <n v="84"/>
    <s v="Needs"/>
    <x v="15"/>
    <x v="1"/>
  </r>
  <r>
    <x v="3"/>
    <d v="2024-11-14T00:00:00"/>
    <s v="Thursday"/>
    <s v="SmartQ"/>
    <n v="162"/>
    <s v="Needs"/>
    <x v="12"/>
    <x v="1"/>
  </r>
  <r>
    <x v="3"/>
    <d v="2024-11-14T00:00:00"/>
    <s v="Thursday"/>
    <s v="Auto to home"/>
    <n v="48"/>
    <s v="Needs"/>
    <x v="15"/>
    <x v="1"/>
  </r>
  <r>
    <x v="3"/>
    <d v="2024-11-14T00:00:00"/>
    <s v="Thursday"/>
    <s v="Zepto"/>
    <n v="850"/>
    <s v="Wants"/>
    <x v="9"/>
    <x v="1"/>
  </r>
  <r>
    <x v="3"/>
    <d v="2024-11-15T00:00:00"/>
    <s v="Friday"/>
    <s v="Auto to office"/>
    <n v="74"/>
    <s v="Needs"/>
    <x v="15"/>
    <x v="1"/>
  </r>
  <r>
    <x v="3"/>
    <d v="2024-11-15T00:00:00"/>
    <s v="Friday"/>
    <s v="SmartQ"/>
    <n v="174"/>
    <s v="Needs"/>
    <x v="12"/>
    <x v="1"/>
  </r>
  <r>
    <x v="3"/>
    <d v="2024-11-15T00:00:00"/>
    <s v="Friday"/>
    <s v="Auto to home"/>
    <n v="70"/>
    <s v="Needs"/>
    <x v="15"/>
    <x v="1"/>
  </r>
  <r>
    <x v="3"/>
    <d v="2024-11-15T00:00:00"/>
    <s v="Friday"/>
    <s v="Zepto"/>
    <n v="495"/>
    <s v="Wants"/>
    <x v="5"/>
    <x v="1"/>
  </r>
  <r>
    <x v="3"/>
    <d v="2024-11-16T00:00:00"/>
    <s v="Saturday"/>
    <s v="Auto to badminton court"/>
    <n v="67"/>
    <s v="Wants"/>
    <x v="4"/>
    <x v="6"/>
  </r>
  <r>
    <x v="3"/>
    <d v="2024-11-16T00:00:00"/>
    <s v="Saturday"/>
    <s v="Badminton (racket+shoes)"/>
    <n v="195"/>
    <s v="Wants"/>
    <x v="10"/>
    <x v="6"/>
  </r>
  <r>
    <x v="3"/>
    <d v="2024-11-16T00:00:00"/>
    <s v="Saturday"/>
    <s v="Fruits (bought on Friday)"/>
    <n v="247"/>
    <s v="Needs"/>
    <x v="6"/>
    <x v="1"/>
  </r>
  <r>
    <x v="3"/>
    <d v="2024-11-16T00:00:00"/>
    <s v="Saturday"/>
    <s v="Auto from badminton court"/>
    <n v="88"/>
    <s v="Wants"/>
    <x v="4"/>
    <x v="6"/>
  </r>
  <r>
    <x v="3"/>
    <d v="2024-11-16T00:00:00"/>
    <s v="Saturday"/>
    <s v="Auto to panchakattu dosa"/>
    <n v="77.5"/>
    <s v="Wants"/>
    <x v="4"/>
    <x v="1"/>
  </r>
  <r>
    <x v="3"/>
    <d v="2024-11-16T00:00:00"/>
    <s v="Saturday"/>
    <s v="Auto from panchakattu dosa"/>
    <n v="66"/>
    <s v="Wants"/>
    <x v="4"/>
    <x v="1"/>
  </r>
  <r>
    <x v="3"/>
    <d v="2024-11-17T00:00:00"/>
    <s v="Sunday"/>
    <s v="Bumble premium :("/>
    <n v="169"/>
    <s v="Wants"/>
    <x v="9"/>
    <x v="1"/>
  </r>
  <r>
    <x v="3"/>
    <d v="2024-11-17T00:00:00"/>
    <s v="Sunday"/>
    <s v="Zepto"/>
    <n v="468"/>
    <s v="Needs"/>
    <x v="6"/>
    <x v="1"/>
  </r>
  <r>
    <x v="3"/>
    <d v="2024-11-18T00:00:00"/>
    <s v="Monday"/>
    <s v="Swiggy"/>
    <n v="539"/>
    <s v="Wants"/>
    <x v="5"/>
    <x v="1"/>
  </r>
  <r>
    <x v="3"/>
    <d v="2024-11-18T00:00:00"/>
    <s v="Monday"/>
    <s v="Auto to office"/>
    <n v="75"/>
    <s v="Needs"/>
    <x v="15"/>
    <x v="1"/>
  </r>
  <r>
    <x v="3"/>
    <d v="2024-11-18T00:00:00"/>
    <s v="Monday"/>
    <s v="SmartQ"/>
    <n v="96"/>
    <s v="Needs"/>
    <x v="12"/>
    <x v="1"/>
  </r>
  <r>
    <x v="3"/>
    <d v="2024-11-18T00:00:00"/>
    <s v="Monday"/>
    <s v="Auto to home"/>
    <n v="66"/>
    <s v="Needs"/>
    <x v="15"/>
    <x v="1"/>
  </r>
  <r>
    <x v="3"/>
    <d v="2024-11-18T00:00:00"/>
    <s v="Monday"/>
    <s v="Minecraft"/>
    <n v="1999"/>
    <s v="Wants"/>
    <x v="9"/>
    <x v="1"/>
  </r>
  <r>
    <x v="3"/>
    <d v="2024-11-18T00:00:00"/>
    <s v="Monday"/>
    <s v="dosa"/>
    <n v="85"/>
    <s v="Wants"/>
    <x v="5"/>
    <x v="1"/>
  </r>
  <r>
    <x v="3"/>
    <d v="2024-11-18T00:00:00"/>
    <s v="Monday"/>
    <s v="badminton"/>
    <n v="245"/>
    <s v="Wants"/>
    <x v="10"/>
    <x v="6"/>
  </r>
  <r>
    <x v="3"/>
    <d v="2024-11-18T00:00:00"/>
    <s v="Monday"/>
    <s v="dosa"/>
    <n v="125"/>
    <s v="Wants"/>
    <x v="5"/>
    <x v="1"/>
  </r>
  <r>
    <x v="3"/>
    <d v="2024-11-19T00:00:00"/>
    <s v="Tuesday"/>
    <s v="Swiggy"/>
    <n v="871"/>
    <s v="Wants"/>
    <x v="5"/>
    <x v="1"/>
  </r>
  <r>
    <x v="3"/>
    <d v="2024-11-19T00:00:00"/>
    <s v="Tuesday"/>
    <s v="Zepto"/>
    <n v="412.13"/>
    <s v="Wants"/>
    <x v="5"/>
    <x v="1"/>
  </r>
  <r>
    <x v="3"/>
    <d v="2024-11-20T00:00:00"/>
    <s v="Wednesday"/>
    <s v="Auto to office"/>
    <n v="78"/>
    <s v="Needs"/>
    <x v="15"/>
    <x v="1"/>
  </r>
  <r>
    <x v="3"/>
    <d v="2024-11-20T00:00:00"/>
    <s v="Wednesday"/>
    <s v="SmartQ"/>
    <n v="125"/>
    <s v="Needs"/>
    <x v="12"/>
    <x v="1"/>
  </r>
  <r>
    <x v="3"/>
    <d v="2024-11-20T00:00:00"/>
    <s v="Wednesday"/>
    <s v="Food"/>
    <n v="508"/>
    <s v="Wants"/>
    <x v="5"/>
    <x v="1"/>
  </r>
  <r>
    <x v="3"/>
    <d v="2024-11-20T00:00:00"/>
    <s v="Wednesday"/>
    <s v="Auto to home"/>
    <n v="45"/>
    <s v="Needs"/>
    <x v="15"/>
    <x v="1"/>
  </r>
  <r>
    <x v="3"/>
    <d v="2024-11-21T00:00:00"/>
    <s v="Thursday"/>
    <s v="Auto to Office"/>
    <n v="80"/>
    <s v="Needs"/>
    <x v="15"/>
    <x v="1"/>
  </r>
  <r>
    <x v="3"/>
    <d v="2024-11-21T00:00:00"/>
    <s v="Thursday"/>
    <s v="SmartQ"/>
    <n v="142"/>
    <s v="Needs"/>
    <x v="12"/>
    <x v="1"/>
  </r>
  <r>
    <x v="3"/>
    <d v="2024-11-22T00:00:00"/>
    <s v="Friday"/>
    <s v="Netflix"/>
    <n v="199"/>
    <s v="Wants"/>
    <x v="8"/>
    <x v="1"/>
  </r>
  <r>
    <x v="3"/>
    <d v="2024-11-22T00:00:00"/>
    <s v="Friday"/>
    <s v="Auto"/>
    <n v="74"/>
    <s v="Needs"/>
    <x v="15"/>
    <x v="1"/>
  </r>
  <r>
    <x v="3"/>
    <d v="2024-11-22T00:00:00"/>
    <s v="Friday"/>
    <s v="Dinner"/>
    <n v="264"/>
    <s v="Wants"/>
    <x v="5"/>
    <x v="1"/>
  </r>
  <r>
    <x v="3"/>
    <d v="2024-11-22T00:00:00"/>
    <s v="Friday"/>
    <s v="Auto to home"/>
    <n v="62"/>
    <s v="Needs"/>
    <x v="15"/>
    <x v="1"/>
  </r>
  <r>
    <x v="3"/>
    <d v="2024-11-23T00:00:00"/>
    <s v="Saturday"/>
    <s v="Auto to Badminton"/>
    <n v="117"/>
    <s v="Wants"/>
    <x v="4"/>
    <x v="6"/>
  </r>
  <r>
    <x v="3"/>
    <d v="2024-11-23T00:00:00"/>
    <s v="Saturday"/>
    <s v="Badminton"/>
    <n v="290"/>
    <s v="Wants"/>
    <x v="10"/>
    <x v="6"/>
  </r>
  <r>
    <x v="3"/>
    <d v="2024-11-23T00:00:00"/>
    <s v="Saturday"/>
    <s v="Auto to home"/>
    <n v="100"/>
    <s v="Wants"/>
    <x v="4"/>
    <x v="6"/>
  </r>
  <r>
    <x v="3"/>
    <d v="2024-11-23T00:00:00"/>
    <s v="Saturday"/>
    <s v="Auto to kphb"/>
    <n v="50"/>
    <s v="Wants"/>
    <x v="4"/>
    <x v="8"/>
  </r>
  <r>
    <x v="3"/>
    <d v="2024-11-23T00:00:00"/>
    <s v="Saturday"/>
    <s v="Food"/>
    <n v="41.666666666666664"/>
    <s v="Wants"/>
    <x v="5"/>
    <x v="8"/>
  </r>
  <r>
    <x v="3"/>
    <d v="2024-11-23T00:00:00"/>
    <s v="Saturday"/>
    <s v="Suit"/>
    <n v="7000"/>
    <s v="Wants"/>
    <x v="3"/>
    <x v="1"/>
  </r>
  <r>
    <x v="3"/>
    <d v="2024-11-23T00:00:00"/>
    <s v="Saturday"/>
    <s v="Auto to home"/>
    <n v="50.666666666666664"/>
    <s v="Wants"/>
    <x v="4"/>
    <x v="8"/>
  </r>
  <r>
    <x v="3"/>
    <d v="2024-11-24T00:00:00"/>
    <s v="Sunday"/>
    <s v="Zepto"/>
    <n v="1380"/>
    <s v="Wants"/>
    <x v="9"/>
    <x v="1"/>
  </r>
  <r>
    <x v="3"/>
    <d v="2024-11-24T00:00:00"/>
    <s v="Sunday"/>
    <s v="KPHB snacks (on 23rd)"/>
    <n v="108"/>
    <s v="Wants"/>
    <x v="5"/>
    <x v="8"/>
  </r>
  <r>
    <x v="3"/>
    <d v="2024-11-24T00:00:00"/>
    <s v="Sunday"/>
    <s v="Haircut"/>
    <n v="150"/>
    <s v="Needs"/>
    <x v="11"/>
    <x v="1"/>
  </r>
  <r>
    <x v="3"/>
    <d v="2024-11-25T00:00:00"/>
    <s v="Monday"/>
    <s v="Airtel Bill"/>
    <n v="530"/>
    <s v="Needs"/>
    <x v="14"/>
    <x v="1"/>
  </r>
  <r>
    <x v="3"/>
    <d v="2024-11-25T00:00:00"/>
    <s v="Monday"/>
    <s v="Auto to office "/>
    <n v="77"/>
    <s v="Needs"/>
    <x v="15"/>
    <x v="1"/>
  </r>
  <r>
    <x v="3"/>
    <d v="2024-11-26T00:00:00"/>
    <s v="Tuesday"/>
    <s v="Dinner"/>
    <n v="232"/>
    <s v="Wants"/>
    <x v="5"/>
    <x v="1"/>
  </r>
  <r>
    <x v="3"/>
    <d v="2024-11-27T00:00:00"/>
    <s v="Wednesday"/>
    <s v="Auto to office"/>
    <n v="80"/>
    <s v="Needs"/>
    <x v="15"/>
    <x v="1"/>
  </r>
  <r>
    <x v="3"/>
    <d v="2024-11-27T00:00:00"/>
    <s v="Wednesday"/>
    <s v="SmartQ"/>
    <n v="204"/>
    <s v="Needs"/>
    <x v="12"/>
    <x v="1"/>
  </r>
  <r>
    <x v="3"/>
    <d v="2024-11-27T00:00:00"/>
    <s v="Wednesday"/>
    <s v="Rapido to 45th avenue"/>
    <n v="48"/>
    <s v="Wants"/>
    <x v="4"/>
    <x v="1"/>
  </r>
  <r>
    <x v="3"/>
    <d v="2024-11-27T00:00:00"/>
    <s v="Wednesday"/>
    <s v="Cab home"/>
    <n v="102"/>
    <s v="Wants"/>
    <x v="4"/>
    <x v="1"/>
  </r>
  <r>
    <x v="3"/>
    <d v="2024-11-28T00:00:00"/>
    <s v="Thursday"/>
    <s v="Auto to Office"/>
    <n v="72"/>
    <s v="Needs"/>
    <x v="15"/>
    <x v="1"/>
  </r>
  <r>
    <x v="3"/>
    <d v="2024-11-28T00:00:00"/>
    <s v="Thursday"/>
    <s v="Auto to home"/>
    <n v="46"/>
    <s v="Needs"/>
    <x v="15"/>
    <x v="1"/>
  </r>
  <r>
    <x v="3"/>
    <d v="2024-11-29T00:00:00"/>
    <s v="Friday"/>
    <s v="Puri + aloo + mutton keema"/>
    <n v="502"/>
    <s v="Wants"/>
    <x v="5"/>
    <x v="1"/>
  </r>
  <r>
    <x v="3"/>
    <d v="2024-11-30T00:00:00"/>
    <s v="Saturday"/>
    <s v="Zepto"/>
    <n v="551"/>
    <s v="Wants"/>
    <x v="2"/>
    <x v="7"/>
  </r>
  <r>
    <x v="3"/>
    <d v="2024-11-30T00:00:00"/>
    <s v="Saturday"/>
    <s v="Putharekulu"/>
    <n v="250"/>
    <s v="Wants"/>
    <x v="2"/>
    <x v="7"/>
  </r>
  <r>
    <x v="3"/>
    <d v="2024-11-30T00:00:00"/>
    <s v="Saturday"/>
    <s v="To airport"/>
    <n v="250"/>
    <s v="Wants"/>
    <x v="4"/>
    <x v="7"/>
  </r>
  <r>
    <x v="3"/>
    <d v="2024-11-30T00:00:00"/>
    <s v="Saturday"/>
    <s v="yaad nhi"/>
    <n v="620"/>
    <s v="Wants"/>
    <x v="9"/>
    <x v="7"/>
  </r>
  <r>
    <x v="4"/>
    <d v="2024-12-01T00:00:00"/>
    <s v="Sunday"/>
    <s v="Cab to Usha Nani's House"/>
    <n v="287"/>
    <s v="Wants"/>
    <x v="4"/>
    <x v="7"/>
  </r>
  <r>
    <x v="4"/>
    <d v="2024-12-01T00:00:00"/>
    <s v="Sunday"/>
    <s v="Souled Store Clothes"/>
    <n v="2471"/>
    <s v="Wants"/>
    <x v="3"/>
    <x v="1"/>
  </r>
  <r>
    <x v="4"/>
    <d v="2024-12-01T00:00:00"/>
    <s v="Sunday"/>
    <s v="Rent + Maintainence"/>
    <n v="20666.666666666668"/>
    <s v="Needs"/>
    <x v="1"/>
    <x v="1"/>
  </r>
  <r>
    <x v="4"/>
    <d v="2024-12-01T00:00:00"/>
    <s v="Sunday"/>
    <s v="Zepto Balance"/>
    <n v="1723"/>
    <s v="Needs"/>
    <x v="6"/>
    <x v="1"/>
  </r>
  <r>
    <x v="4"/>
    <d v="2024-12-03T00:00:00"/>
    <s v="Tuesday"/>
    <s v="MF"/>
    <n v="15000"/>
    <s v="Investments"/>
    <x v="13"/>
    <x v="1"/>
  </r>
  <r>
    <x v="4"/>
    <d v="2024-12-04T00:00:00"/>
    <s v="Wednesday"/>
    <s v="Fruits"/>
    <n v="892"/>
    <s v="Needs"/>
    <x v="6"/>
    <x v="7"/>
  </r>
  <r>
    <x v="4"/>
    <d v="2024-12-04T00:00:00"/>
    <s v="Wednesday"/>
    <s v="Shoes (from Levi's)"/>
    <n v="1480"/>
    <s v="Wants"/>
    <x v="3"/>
    <x v="1"/>
  </r>
  <r>
    <x v="4"/>
    <d v="2024-12-04T00:00:00"/>
    <s v="Wednesday"/>
    <s v="Metro"/>
    <n v="60"/>
    <s v="Wants"/>
    <x v="4"/>
    <x v="7"/>
  </r>
  <r>
    <x v="4"/>
    <d v="2024-12-04T00:00:00"/>
    <s v="Wednesday"/>
    <s v="Champa Gali food"/>
    <n v="571"/>
    <s v="Wants"/>
    <x v="5"/>
    <x v="7"/>
  </r>
  <r>
    <x v="4"/>
    <d v="2024-12-04T00:00:00"/>
    <s v="Wednesday"/>
    <s v="Auto"/>
    <n v="67"/>
    <s v="Wants"/>
    <x v="4"/>
    <x v="7"/>
  </r>
  <r>
    <x v="4"/>
    <d v="2024-12-04T00:00:00"/>
    <s v="Wednesday"/>
    <s v="Metro"/>
    <n v="60"/>
    <s v="Wants"/>
    <x v="4"/>
    <x v="7"/>
  </r>
  <r>
    <x v="4"/>
    <d v="2024-12-04T00:00:00"/>
    <s v="Wednesday"/>
    <s v="Chicken Afghani + Afghani Chap"/>
    <n v="824"/>
    <s v="Wants"/>
    <x v="5"/>
    <x v="7"/>
  </r>
  <r>
    <x v="4"/>
    <d v="2024-12-05T00:00:00"/>
    <s v="Thursday"/>
    <s v="Metro"/>
    <n v="200"/>
    <s v="Wants"/>
    <x v="4"/>
    <x v="7"/>
  </r>
  <r>
    <x v="4"/>
    <d v="2024-12-05T00:00:00"/>
    <s v="Thursday"/>
    <s v="Food @ Mehrauli Architectural Park"/>
    <n v="784"/>
    <s v="Wants"/>
    <x v="5"/>
    <x v="7"/>
  </r>
  <r>
    <x v="4"/>
    <d v="2024-12-05T00:00:00"/>
    <s v="Thursday"/>
    <s v="Snacks @ Qutb Minar"/>
    <n v="145"/>
    <s v="Wants"/>
    <x v="5"/>
    <x v="7"/>
  </r>
  <r>
    <x v="4"/>
    <d v="2024-12-05T00:00:00"/>
    <s v="Thursday"/>
    <s v="Doma Aunty's Momos @ Lajpat Nagar"/>
    <n v="200"/>
    <s v="Wants"/>
    <x v="5"/>
    <x v="7"/>
  </r>
  <r>
    <x v="4"/>
    <d v="2024-12-05T00:00:00"/>
    <s v="Thursday"/>
    <s v="Charger for mom"/>
    <n v="750"/>
    <s v="Wants"/>
    <x v="9"/>
    <x v="7"/>
  </r>
  <r>
    <x v="4"/>
    <d v="2024-12-05T00:00:00"/>
    <s v="Thursday"/>
    <s v="Pani Puri "/>
    <n v="30"/>
    <s v="Wants"/>
    <x v="5"/>
    <x v="7"/>
  </r>
  <r>
    <x v="4"/>
    <d v="2024-12-05T00:00:00"/>
    <s v="Thursday"/>
    <s v="Big Chill Cakery"/>
    <n v="649"/>
    <s v="Wants"/>
    <x v="5"/>
    <x v="7"/>
  </r>
  <r>
    <x v="4"/>
    <d v="2024-12-05T00:00:00"/>
    <s v="Thursday"/>
    <s v="Big Chill Cakery"/>
    <n v="295"/>
    <s v="Wants"/>
    <x v="5"/>
    <x v="7"/>
  </r>
  <r>
    <x v="4"/>
    <d v="2024-12-05T00:00:00"/>
    <s v="Thursday"/>
    <s v="Metro"/>
    <n v="70"/>
    <s v="Wants"/>
    <x v="4"/>
    <x v="7"/>
  </r>
  <r>
    <x v="4"/>
    <d v="2024-12-05T00:00:00"/>
    <s v="Thursday"/>
    <s v="Chicken"/>
    <n v="280"/>
    <s v="Needs"/>
    <x v="6"/>
    <x v="7"/>
  </r>
  <r>
    <x v="4"/>
    <d v="2024-12-06T00:00:00"/>
    <s v="Friday"/>
    <s v="Metro"/>
    <n v="70"/>
    <s v="Wants"/>
    <x v="4"/>
    <x v="7"/>
  </r>
  <r>
    <x v="4"/>
    <d v="2024-12-06T00:00:00"/>
    <s v="Friday"/>
    <s v="Metro"/>
    <n v="70"/>
    <s v="Wants"/>
    <x v="4"/>
    <x v="7"/>
  </r>
  <r>
    <x v="4"/>
    <d v="2024-12-06T00:00:00"/>
    <s v="Friday"/>
    <s v="Bumble premium :("/>
    <n v="169"/>
    <s v="Wants"/>
    <x v="9"/>
    <x v="1"/>
  </r>
  <r>
    <x v="4"/>
    <d v="2024-12-06T00:00:00"/>
    <s v="Friday"/>
    <s v="Auto"/>
    <n v="84"/>
    <s v="Wants"/>
    <x v="4"/>
    <x v="7"/>
  </r>
  <r>
    <x v="4"/>
    <d v="2024-12-06T00:00:00"/>
    <s v="Friday"/>
    <s v="Waffle"/>
    <n v="85"/>
    <s v="Wants"/>
    <x v="5"/>
    <x v="7"/>
  </r>
  <r>
    <x v="4"/>
    <d v="2024-12-06T00:00:00"/>
    <s v="Friday"/>
    <s v="Drinks"/>
    <n v="140"/>
    <s v="Wants"/>
    <x v="5"/>
    <x v="7"/>
  </r>
  <r>
    <x v="4"/>
    <d v="2024-12-06T00:00:00"/>
    <s v="Friday"/>
    <s v="Kulcha"/>
    <n v="55"/>
    <s v="Wants"/>
    <x v="5"/>
    <x v="7"/>
  </r>
  <r>
    <x v="4"/>
    <d v="2024-12-06T00:00:00"/>
    <s v="Friday"/>
    <s v="KFC"/>
    <n v="150"/>
    <s v="Wants"/>
    <x v="5"/>
    <x v="7"/>
  </r>
  <r>
    <x v="4"/>
    <d v="2024-12-06T00:00:00"/>
    <s v="Friday"/>
    <s v="Taco Bell"/>
    <n v="77.5"/>
    <s v="Wants"/>
    <x v="5"/>
    <x v="7"/>
  </r>
  <r>
    <x v="4"/>
    <d v="2024-12-06T00:00:00"/>
    <s v="Friday"/>
    <s v="Drinks again"/>
    <n v="60"/>
    <s v="Wants"/>
    <x v="5"/>
    <x v="7"/>
  </r>
  <r>
    <x v="4"/>
    <d v="2024-12-06T00:00:00"/>
    <s v="Friday"/>
    <s v="Auto"/>
    <n v="84"/>
    <s v="Wants"/>
    <x v="4"/>
    <x v="7"/>
  </r>
  <r>
    <x v="4"/>
    <d v="2024-12-07T00:00:00"/>
    <s v="Saturday"/>
    <s v="Veena Farewell Gift"/>
    <n v="500"/>
    <s v="Wants"/>
    <x v="2"/>
    <x v="1"/>
  </r>
  <r>
    <x v="4"/>
    <d v="2024-12-07T00:00:00"/>
    <s v="Saturday"/>
    <s v="Metro"/>
    <n v="40"/>
    <s v="Wants"/>
    <x v="4"/>
    <x v="7"/>
  </r>
  <r>
    <x v="4"/>
    <d v="2024-12-07T00:00:00"/>
    <s v="Saturday"/>
    <s v="Auto to Deer Park"/>
    <n v="31.5"/>
    <s v="Wants"/>
    <x v="4"/>
    <x v="7"/>
  </r>
  <r>
    <x v="4"/>
    <d v="2024-12-07T00:00:00"/>
    <s v="Saturday"/>
    <s v="Hauz Khas Ticket"/>
    <n v="20"/>
    <s v="Wants"/>
    <x v="10"/>
    <x v="7"/>
  </r>
  <r>
    <x v="4"/>
    <d v="2024-12-07T00:00:00"/>
    <s v="Saturday"/>
    <s v="Spotify"/>
    <n v="119"/>
    <s v="Wants"/>
    <x v="8"/>
    <x v="7"/>
  </r>
  <r>
    <x v="4"/>
    <d v="2024-12-07T00:00:00"/>
    <s v="Saturday"/>
    <s v="Coast Café"/>
    <n v="1509.5"/>
    <s v="Wants"/>
    <x v="5"/>
    <x v="7"/>
  </r>
  <r>
    <x v="4"/>
    <d v="2024-12-07T00:00:00"/>
    <s v="Saturday"/>
    <s v="Juice"/>
    <n v="60"/>
    <s v="Wants"/>
    <x v="5"/>
    <x v="7"/>
  </r>
  <r>
    <x v="4"/>
    <d v="2024-12-07T00:00:00"/>
    <s v="Saturday"/>
    <s v="Metro"/>
    <n v="60"/>
    <s v="Wants"/>
    <x v="4"/>
    <x v="7"/>
  </r>
  <r>
    <x v="4"/>
    <d v="2024-12-08T00:00:00"/>
    <s v="Sunday"/>
    <s v="Metro"/>
    <n v="40"/>
    <s v="Wants"/>
    <x v="4"/>
    <x v="7"/>
  </r>
  <r>
    <x v="4"/>
    <d v="2024-12-08T00:00:00"/>
    <s v="Sunday"/>
    <s v="Auto to NGMA"/>
    <n v="33"/>
    <s v="Wants"/>
    <x v="4"/>
    <x v="7"/>
  </r>
  <r>
    <x v="4"/>
    <d v="2024-12-08T00:00:00"/>
    <s v="Sunday"/>
    <s v="NGMA Ticket"/>
    <n v="20"/>
    <s v="Wants"/>
    <x v="10"/>
    <x v="7"/>
  </r>
  <r>
    <x v="4"/>
    <d v="2024-12-08T00:00:00"/>
    <s v="Sunday"/>
    <s v="Papad"/>
    <n v="40"/>
    <s v="Wants"/>
    <x v="5"/>
    <x v="7"/>
  </r>
  <r>
    <x v="4"/>
    <d v="2024-12-08T00:00:00"/>
    <s v="Sunday"/>
    <s v="Auto"/>
    <n v="37.5"/>
    <s v="Wants"/>
    <x v="4"/>
    <x v="7"/>
  </r>
  <r>
    <x v="4"/>
    <d v="2024-12-08T00:00:00"/>
    <s v="Sunday"/>
    <s v="Café Sandos"/>
    <n v="885"/>
    <s v="Wants"/>
    <x v="5"/>
    <x v="7"/>
  </r>
  <r>
    <x v="4"/>
    <d v="2024-12-08T00:00:00"/>
    <s v="Sunday"/>
    <s v="Naturals Café"/>
    <n v="100"/>
    <s v="Wants"/>
    <x v="5"/>
    <x v="7"/>
  </r>
  <r>
    <x v="4"/>
    <d v="2024-12-08T00:00:00"/>
    <s v="Sunday"/>
    <s v="Metro"/>
    <n v="60"/>
    <s v="Wants"/>
    <x v="4"/>
    <x v="7"/>
  </r>
  <r>
    <x v="4"/>
    <d v="2024-12-08T00:00:00"/>
    <s v="Sunday"/>
    <s v="Auto to Ambience"/>
    <n v="31.5"/>
    <s v="Wants"/>
    <x v="4"/>
    <x v="7"/>
  </r>
  <r>
    <x v="4"/>
    <d v="2024-12-08T00:00:00"/>
    <s v="Sunday"/>
    <s v="Water Bottle"/>
    <n v="20"/>
    <s v="Wants"/>
    <x v="5"/>
    <x v="7"/>
  </r>
  <r>
    <x v="4"/>
    <d v="2024-12-08T00:00:00"/>
    <s v="Sunday"/>
    <s v="Tshirt"/>
    <n v="400"/>
    <s v="Wants"/>
    <x v="3"/>
    <x v="7"/>
  </r>
  <r>
    <x v="4"/>
    <d v="2024-12-08T00:00:00"/>
    <s v="Sunday"/>
    <s v="Cinnabon"/>
    <n v="75"/>
    <s v="Wants"/>
    <x v="5"/>
    <x v="7"/>
  </r>
  <r>
    <x v="4"/>
    <d v="2024-12-08T00:00:00"/>
    <s v="Sunday"/>
    <s v="Auto to CyberCity"/>
    <n v="90"/>
    <s v="Wants"/>
    <x v="4"/>
    <x v="7"/>
  </r>
  <r>
    <x v="4"/>
    <d v="2024-12-08T00:00:00"/>
    <s v="Sunday"/>
    <s v="Khan Chacha Rolls + KFC"/>
    <n v="343"/>
    <s v="Wants"/>
    <x v="5"/>
    <x v="7"/>
  </r>
  <r>
    <x v="4"/>
    <d v="2024-12-08T00:00:00"/>
    <s v="Sunday"/>
    <s v="Auto home"/>
    <n v="75"/>
    <s v="Wants"/>
    <x v="4"/>
    <x v="7"/>
  </r>
  <r>
    <x v="4"/>
    <d v="2024-12-09T00:00:00"/>
    <s v="Monday"/>
    <s v="Auto to station"/>
    <n v="103.5"/>
    <s v="Wants"/>
    <x v="4"/>
    <x v="7"/>
  </r>
  <r>
    <x v="4"/>
    <d v="2024-12-09T00:00:00"/>
    <s v="Monday"/>
    <s v="Bike to home"/>
    <n v="119"/>
    <s v="Wants"/>
    <x v="4"/>
    <x v="7"/>
  </r>
  <r>
    <x v="4"/>
    <d v="2024-12-09T00:00:00"/>
    <s v="Monday"/>
    <s v="Cab to Airport"/>
    <n v="501"/>
    <s v="Wants"/>
    <x v="4"/>
    <x v="7"/>
  </r>
  <r>
    <x v="4"/>
    <d v="2024-12-09T00:00:00"/>
    <s v="Monday"/>
    <s v="Shuttle to gachibowli orr"/>
    <n v="250"/>
    <s v="Wants"/>
    <x v="4"/>
    <x v="7"/>
  </r>
  <r>
    <x v="4"/>
    <d v="2024-12-10T00:00:00"/>
    <s v="Tuesday"/>
    <s v="Jacket"/>
    <n v="604"/>
    <s v="Wants"/>
    <x v="3"/>
    <x v="1"/>
  </r>
  <r>
    <x v="4"/>
    <d v="2024-12-10T00:00:00"/>
    <s v="Tuesday"/>
    <s v="Auto to office"/>
    <n v="61"/>
    <s v="Needs"/>
    <x v="15"/>
    <x v="1"/>
  </r>
  <r>
    <x v="4"/>
    <d v="2024-12-10T00:00:00"/>
    <s v="Tuesday"/>
    <s v="SmartQ"/>
    <n v="144"/>
    <s v="Needs"/>
    <x v="12"/>
    <x v="1"/>
  </r>
  <r>
    <x v="4"/>
    <d v="2024-12-10T00:00:00"/>
    <s v="Tuesday"/>
    <s v="Samosa"/>
    <n v="16"/>
    <s v="Wants"/>
    <x v="5"/>
    <x v="1"/>
  </r>
  <r>
    <x v="4"/>
    <d v="2024-12-11T00:00:00"/>
    <s v="Wednesday"/>
    <s v="Auto to office"/>
    <n v="87"/>
    <s v="Needs"/>
    <x v="15"/>
    <x v="1"/>
  </r>
  <r>
    <x v="4"/>
    <d v="2024-12-11T00:00:00"/>
    <s v="Wednesday"/>
    <s v="Pushpa 2 ticket"/>
    <n v="229"/>
    <s v="Wants"/>
    <x v="10"/>
    <x v="3"/>
  </r>
  <r>
    <x v="4"/>
    <d v="2024-12-11T00:00:00"/>
    <s v="Wednesday"/>
    <s v="SmartQ"/>
    <n v="375"/>
    <s v="Needs"/>
    <x v="12"/>
    <x v="1"/>
  </r>
  <r>
    <x v="4"/>
    <d v="2024-12-11T00:00:00"/>
    <s v="Wednesday"/>
    <s v="Manchurian"/>
    <n v="74"/>
    <s v="Wants"/>
    <x v="5"/>
    <x v="1"/>
  </r>
  <r>
    <x v="4"/>
    <d v="2024-12-11T00:00:00"/>
    <s v="Wednesday"/>
    <s v="Samosa"/>
    <n v="16"/>
    <s v="Wants"/>
    <x v="5"/>
    <x v="1"/>
  </r>
  <r>
    <x v="4"/>
    <d v="2024-12-11T00:00:00"/>
    <s v="Wednesday"/>
    <s v="Zepto"/>
    <n v="719"/>
    <s v="Wants"/>
    <x v="5"/>
    <x v="1"/>
  </r>
  <r>
    <x v="4"/>
    <d v="2024-12-12T00:00:00"/>
    <s v="Thursday"/>
    <s v="Auto to office"/>
    <n v="94"/>
    <s v="Needs"/>
    <x v="15"/>
    <x v="1"/>
  </r>
  <r>
    <x v="4"/>
    <d v="2024-12-12T00:00:00"/>
    <s v="Thursday"/>
    <s v="Bike to home"/>
    <n v="37"/>
    <s v="Needs"/>
    <x v="15"/>
    <x v="1"/>
  </r>
  <r>
    <x v="4"/>
    <d v="2024-12-12T00:00:00"/>
    <s v="Thursday"/>
    <s v="Bike to Sri Brahmaramba Theatre"/>
    <n v="106"/>
    <s v="Wants"/>
    <x v="4"/>
    <x v="3"/>
  </r>
  <r>
    <x v="4"/>
    <d v="2024-12-13T00:00:00"/>
    <s v="Friday"/>
    <s v="Auto to home"/>
    <n v="97"/>
    <s v="Wants"/>
    <x v="4"/>
    <x v="3"/>
  </r>
  <r>
    <x v="4"/>
    <d v="2024-12-13T00:00:00"/>
    <s v="Friday"/>
    <s v="JioCinema Subscription"/>
    <n v="29"/>
    <s v="Wants"/>
    <x v="8"/>
    <x v="1"/>
  </r>
  <r>
    <x v="4"/>
    <d v="2024-12-13T00:00:00"/>
    <s v="Friday"/>
    <s v="Auto to office"/>
    <n v="47"/>
    <s v="Needs"/>
    <x v="15"/>
    <x v="1"/>
  </r>
  <r>
    <x v="4"/>
    <d v="2024-12-13T00:00:00"/>
    <s v="Friday"/>
    <s v="SmartQ"/>
    <n v="445"/>
    <s v="Needs"/>
    <x v="12"/>
    <x v="1"/>
  </r>
  <r>
    <x v="4"/>
    <d v="2024-12-13T00:00:00"/>
    <s v="Friday"/>
    <s v="Apples"/>
    <n v="85"/>
    <s v="Wants"/>
    <x v="5"/>
    <x v="1"/>
  </r>
  <r>
    <x v="4"/>
    <d v="2024-12-13T00:00:00"/>
    <s v="Friday"/>
    <s v="Punugulu"/>
    <n v="20"/>
    <s v="Wants"/>
    <x v="5"/>
    <x v="8"/>
  </r>
  <r>
    <x v="4"/>
    <d v="2024-12-13T00:00:00"/>
    <s v="Friday"/>
    <s v="Sugarcane"/>
    <n v="20"/>
    <s v="Wants"/>
    <x v="5"/>
    <x v="8"/>
  </r>
  <r>
    <x v="4"/>
    <d v="2024-12-14T00:00:00"/>
    <s v="Saturday"/>
    <s v="KFC"/>
    <n v="620"/>
    <s v="Wants"/>
    <x v="5"/>
    <x v="1"/>
  </r>
  <r>
    <x v="4"/>
    <d v="2024-12-14T00:00:00"/>
    <s v="Saturday"/>
    <s v="Movie Snacks"/>
    <n v="90"/>
    <s v="Wants"/>
    <x v="5"/>
    <x v="3"/>
  </r>
  <r>
    <x v="4"/>
    <d v="2024-12-14T00:00:00"/>
    <s v="Saturday"/>
    <s v="Mutual Funds"/>
    <n v="20000"/>
    <s v="Investments"/>
    <x v="13"/>
    <x v="1"/>
  </r>
  <r>
    <x v="4"/>
    <d v="2024-12-14T00:00:00"/>
    <s v="Saturday"/>
    <s v="Bike to restaurant"/>
    <n v="71"/>
    <s v="Wants"/>
    <x v="4"/>
    <x v="1"/>
  </r>
  <r>
    <x v="4"/>
    <d v="2024-12-14T00:00:00"/>
    <s v="Saturday"/>
    <s v="Krishnapatnam restaurant food"/>
    <n v="666"/>
    <s v="Wants"/>
    <x v="5"/>
    <x v="1"/>
  </r>
  <r>
    <x v="4"/>
    <d v="2024-12-14T00:00:00"/>
    <s v="Saturday"/>
    <s v="Cream Stone Ice Cream"/>
    <n v="137"/>
    <s v="Wants"/>
    <x v="5"/>
    <x v="1"/>
  </r>
  <r>
    <x v="4"/>
    <d v="2024-12-14T00:00:00"/>
    <s v="Saturday"/>
    <s v="Bike to home"/>
    <n v="66"/>
    <s v="Wants"/>
    <x v="4"/>
    <x v="1"/>
  </r>
  <r>
    <x v="4"/>
    <d v="2024-12-15T00:00:00"/>
    <s v="Sunday"/>
    <s v="Zepto"/>
    <n v="480"/>
    <s v="Wants"/>
    <x v="5"/>
    <x v="1"/>
  </r>
  <r>
    <x v="4"/>
    <d v="2024-12-15T00:00:00"/>
    <s v="Sunday"/>
    <s v="PPF Account"/>
    <n v="60000"/>
    <s v="Investments"/>
    <x v="19"/>
    <x v="1"/>
  </r>
  <r>
    <x v="4"/>
    <d v="2024-12-16T00:00:00"/>
    <s v="Monday"/>
    <s v="Auto to Office"/>
    <n v="60"/>
    <s v="Needs"/>
    <x v="15"/>
    <x v="1"/>
  </r>
  <r>
    <x v="4"/>
    <d v="2024-12-16T00:00:00"/>
    <s v="Monday"/>
    <s v="SmartQ"/>
    <n v="90"/>
    <s v="Needs"/>
    <x v="12"/>
    <x v="1"/>
  </r>
  <r>
    <x v="4"/>
    <d v="2024-12-16T00:00:00"/>
    <s v="Monday"/>
    <s v="Auto to home"/>
    <n v="70"/>
    <s v="Needs"/>
    <x v="15"/>
    <x v="1"/>
  </r>
  <r>
    <x v="4"/>
    <d v="2024-12-16T00:00:00"/>
    <s v="Monday"/>
    <s v="KFC"/>
    <n v="606"/>
    <s v="Wants"/>
    <x v="5"/>
    <x v="1"/>
  </r>
  <r>
    <x v="4"/>
    <d v="2024-12-17T00:00:00"/>
    <s v="Tuesday"/>
    <s v="Zepto"/>
    <n v="344"/>
    <s v="Needs"/>
    <x v="6"/>
    <x v="1"/>
  </r>
  <r>
    <x v="4"/>
    <d v="2024-12-17T00:00:00"/>
    <s v="Tuesday"/>
    <s v="to Office"/>
    <n v="58"/>
    <s v="Needs"/>
    <x v="15"/>
    <x v="1"/>
  </r>
  <r>
    <x v="4"/>
    <d v="2024-12-17T00:00:00"/>
    <s v="Tuesday"/>
    <s v="Angel one trying stocks"/>
    <n v="10000"/>
    <s v="Investments"/>
    <x v="16"/>
    <x v="1"/>
  </r>
  <r>
    <x v="4"/>
    <d v="2024-12-17T00:00:00"/>
    <s v="Tuesday"/>
    <s v="Swiggy"/>
    <n v="645"/>
    <s v="Wants"/>
    <x v="5"/>
    <x v="1"/>
  </r>
  <r>
    <x v="4"/>
    <d v="2024-12-18T00:00:00"/>
    <s v="Wednesday"/>
    <s v="Instamart"/>
    <n v="263"/>
    <s v="Wants"/>
    <x v="9"/>
    <x v="1"/>
  </r>
  <r>
    <x v="4"/>
    <d v="2024-12-18T00:00:00"/>
    <s v="Wednesday"/>
    <s v="To Office"/>
    <n v="58"/>
    <s v="Needs"/>
    <x v="15"/>
    <x v="1"/>
  </r>
  <r>
    <x v="4"/>
    <d v="2024-12-18T00:00:00"/>
    <s v="Wednesday"/>
    <s v="SmartQ"/>
    <n v="174"/>
    <s v="Needs"/>
    <x v="12"/>
    <x v="1"/>
  </r>
  <r>
    <x v="4"/>
    <d v="2024-12-18T00:00:00"/>
    <s v="Wednesday"/>
    <s v="Shah Ghouse"/>
    <n v="272"/>
    <s v="Wants"/>
    <x v="5"/>
    <x v="8"/>
  </r>
  <r>
    <x v="4"/>
    <d v="2024-12-19T00:00:00"/>
    <s v="Thursday"/>
    <s v="Swiggy"/>
    <n v="400"/>
    <s v="Wants"/>
    <x v="5"/>
    <x v="1"/>
  </r>
  <r>
    <x v="4"/>
    <d v="2024-12-19T00:00:00"/>
    <s v="Thursday"/>
    <s v="Zepto"/>
    <n v="463"/>
    <s v="Wants"/>
    <x v="9"/>
    <x v="1"/>
  </r>
  <r>
    <x v="4"/>
    <d v="2024-12-20T00:00:00"/>
    <s v="Friday"/>
    <s v="Swiggy"/>
    <n v="516"/>
    <s v="Wants"/>
    <x v="5"/>
    <x v="1"/>
  </r>
  <r>
    <x v="4"/>
    <d v="2024-12-21T00:00:00"/>
    <s v="Saturday"/>
    <s v="water can"/>
    <n v="30"/>
    <s v="Needs"/>
    <x v="6"/>
    <x v="1"/>
  </r>
  <r>
    <x v="4"/>
    <d v="2024-12-21T00:00:00"/>
    <s v="Saturday"/>
    <s v="to LP"/>
    <n v="55"/>
    <s v="Wants"/>
    <x v="9"/>
    <x v="1"/>
  </r>
  <r>
    <x v="4"/>
    <d v="2024-12-21T00:00:00"/>
    <s v="Saturday"/>
    <s v="Swiggy"/>
    <n v="317"/>
    <s v="Wants"/>
    <x v="5"/>
    <x v="1"/>
  </r>
  <r>
    <x v="4"/>
    <d v="2024-12-21T00:00:00"/>
    <s v="Saturday"/>
    <s v="Angel one trying stocks"/>
    <n v="10000"/>
    <s v="Investments"/>
    <x v="16"/>
    <x v="1"/>
  </r>
  <r>
    <x v="4"/>
    <d v="2024-12-21T00:00:00"/>
    <s v="Saturday"/>
    <s v="Beyoung (some clothes)"/>
    <n v="1449"/>
    <s v="Wants"/>
    <x v="3"/>
    <x v="1"/>
  </r>
  <r>
    <x v="4"/>
    <d v="2024-12-21T00:00:00"/>
    <s v="Saturday"/>
    <s v="Auto to metro"/>
    <n v="61"/>
    <s v="Wants"/>
    <x v="4"/>
    <x v="1"/>
  </r>
  <r>
    <x v="4"/>
    <d v="2024-12-21T00:00:00"/>
    <s v="Saturday"/>
    <s v="Metro"/>
    <n v="40"/>
    <s v="Wants"/>
    <x v="4"/>
    <x v="1"/>
  </r>
  <r>
    <x v="4"/>
    <d v="2024-12-21T00:00:00"/>
    <s v="Saturday"/>
    <s v="Creamstone"/>
    <n v="105"/>
    <s v="Wants"/>
    <x v="5"/>
    <x v="1"/>
  </r>
  <r>
    <x v="4"/>
    <d v="2024-12-21T00:00:00"/>
    <s v="Saturday"/>
    <s v="levis"/>
    <n v="7460"/>
    <s v="Wants"/>
    <x v="3"/>
    <x v="1"/>
  </r>
  <r>
    <x v="4"/>
    <d v="2024-12-21T00:00:00"/>
    <s v="Saturday"/>
    <s v="metro"/>
    <n v="40"/>
    <s v="Wants"/>
    <x v="4"/>
    <x v="1"/>
  </r>
  <r>
    <x v="4"/>
    <d v="2024-12-21T00:00:00"/>
    <s v="Saturday"/>
    <s v="bike to home"/>
    <n v="33"/>
    <s v="Wants"/>
    <x v="4"/>
    <x v="1"/>
  </r>
  <r>
    <x v="4"/>
    <d v="2024-12-22T00:00:00"/>
    <s v="Sunday"/>
    <s v="Netflix"/>
    <n v="199"/>
    <s v="Wants"/>
    <x v="8"/>
    <x v="1"/>
  </r>
  <r>
    <x v="4"/>
    <d v="2024-12-22T00:00:00"/>
    <s v="Sunday"/>
    <s v="To badminton"/>
    <n v="57"/>
    <s v="Wants"/>
    <x v="4"/>
    <x v="6"/>
  </r>
  <r>
    <x v="4"/>
    <d v="2024-12-22T00:00:00"/>
    <s v="Sunday"/>
    <s v="badminton"/>
    <n v="290"/>
    <s v="Wants"/>
    <x v="10"/>
    <x v="6"/>
  </r>
  <r>
    <x v="4"/>
    <d v="2024-12-22T00:00:00"/>
    <s v="Sunday"/>
    <s v="To home"/>
    <n v="81"/>
    <s v="Wants"/>
    <x v="4"/>
    <x v="6"/>
  </r>
  <r>
    <x v="4"/>
    <d v="2024-12-22T00:00:00"/>
    <s v="Sunday"/>
    <s v="Zepto"/>
    <n v="482"/>
    <s v="Needs"/>
    <x v="6"/>
    <x v="1"/>
  </r>
  <r>
    <x v="4"/>
    <d v="2024-12-22T00:00:00"/>
    <s v="Sunday"/>
    <s v="auto from gf mandi"/>
    <n v="185"/>
    <s v="Wants"/>
    <x v="9"/>
    <x v="1"/>
  </r>
  <r>
    <x v="4"/>
    <d v="2024-12-22T00:00:00"/>
    <s v="Sunday"/>
    <s v="auto to gf mandi"/>
    <n v="37"/>
    <s v="Wants"/>
    <x v="9"/>
    <x v="1"/>
  </r>
  <r>
    <x v="4"/>
    <d v="2024-12-22T00:00:00"/>
    <s v="Sunday"/>
    <s v="gf mandi"/>
    <n v="359"/>
    <s v="Wants"/>
    <x v="5"/>
    <x v="1"/>
  </r>
  <r>
    <x v="4"/>
    <d v="2024-12-22T00:00:00"/>
    <s v="Sunday"/>
    <s v="domino's"/>
    <n v="207"/>
    <s v="Wants"/>
    <x v="5"/>
    <x v="1"/>
  </r>
  <r>
    <x v="4"/>
    <d v="2024-12-23T00:00:00"/>
    <s v="Monday"/>
    <s v="Angel one stocks"/>
    <n v="10000"/>
    <s v="Investments"/>
    <x v="16"/>
    <x v="1"/>
  </r>
  <r>
    <x v="4"/>
    <d v="2024-12-23T00:00:00"/>
    <s v="Monday"/>
    <s v="Zepto"/>
    <n v="552"/>
    <s v="Needs"/>
    <x v="6"/>
    <x v="1"/>
  </r>
  <r>
    <x v="4"/>
    <d v="2024-12-23T00:00:00"/>
    <s v="Monday"/>
    <s v="bike to decathlon"/>
    <n v="38"/>
    <s v="Wants"/>
    <x v="4"/>
    <x v="1"/>
  </r>
  <r>
    <x v="4"/>
    <d v="2024-12-23T00:00:00"/>
    <s v="Monday"/>
    <s v="Decathlon (swimming stuff)"/>
    <n v="2807"/>
    <s v="Wants"/>
    <x v="3"/>
    <x v="5"/>
  </r>
  <r>
    <x v="4"/>
    <d v="2024-12-23T00:00:00"/>
    <s v="Monday"/>
    <s v="bike to home"/>
    <n v="32"/>
    <s v="Wants"/>
    <x v="4"/>
    <x v="1"/>
  </r>
  <r>
    <x v="4"/>
    <d v="2024-12-23T00:00:00"/>
    <s v="Monday"/>
    <s v="Trip money (to depreeth)"/>
    <n v="2600"/>
    <s v="Wants"/>
    <x v="10"/>
    <x v="5"/>
  </r>
  <r>
    <x v="4"/>
    <d v="2024-12-24T00:00:00"/>
    <s v="Tuesday"/>
    <s v="Angel one stocks"/>
    <n v="5000"/>
    <s v="Investments"/>
    <x v="16"/>
    <x v="1"/>
  </r>
  <r>
    <x v="4"/>
    <d v="2024-12-24T00:00:00"/>
    <s v="Tuesday"/>
    <s v="Zepto"/>
    <n v="421"/>
    <s v="Wants"/>
    <x v="9"/>
    <x v="1"/>
  </r>
  <r>
    <x v="4"/>
    <d v="2024-12-24T00:00:00"/>
    <s v="Tuesday"/>
    <s v="Swiggy"/>
    <n v="415"/>
    <s v="Wants"/>
    <x v="5"/>
    <x v="1"/>
  </r>
  <r>
    <x v="4"/>
    <d v="2024-12-24T00:00:00"/>
    <s v="Tuesday"/>
    <s v="metro"/>
    <n v="45"/>
    <s v="Wants"/>
    <x v="4"/>
    <x v="1"/>
  </r>
  <r>
    <x v="4"/>
    <d v="2024-12-24T00:00:00"/>
    <s v="Tuesday"/>
    <s v="idk"/>
    <n v="87"/>
    <s v="Wants"/>
    <x v="9"/>
    <x v="1"/>
  </r>
  <r>
    <x v="4"/>
    <d v="2024-12-26T00:00:00"/>
    <s v="Thursday"/>
    <s v="Jio recharge"/>
    <n v="49"/>
    <s v="Needs"/>
    <x v="14"/>
    <x v="1"/>
  </r>
  <r>
    <x v="4"/>
    <d v="2024-12-29T00:00:00"/>
    <s v="Sunday"/>
    <s v="Vizag Trip"/>
    <n v="7000"/>
    <s v="Wants"/>
    <x v="10"/>
    <x v="5"/>
  </r>
  <r>
    <x v="4"/>
    <d v="2024-12-29T00:00:00"/>
    <s v="Sunday"/>
    <s v="Swiggy"/>
    <n v="544"/>
    <s v="Wants"/>
    <x v="5"/>
    <x v="1"/>
  </r>
  <r>
    <x v="4"/>
    <d v="2024-12-30T00:00:00"/>
    <s v="Monday"/>
    <s v="Zepto?"/>
    <n v="350"/>
    <s v="Wants"/>
    <x v="9"/>
    <x v="1"/>
  </r>
  <r>
    <x v="4"/>
    <d v="2024-12-30T00:00:00"/>
    <s v="Monday"/>
    <s v="Swiggy"/>
    <n v="793"/>
    <s v="Wants"/>
    <x v="5"/>
    <x v="1"/>
  </r>
  <r>
    <x v="4"/>
    <d v="2024-12-31T00:00:00"/>
    <s v="Tuesday"/>
    <s v="Swiggy"/>
    <n v="462"/>
    <s v="Wants"/>
    <x v="5"/>
    <x v="1"/>
  </r>
  <r>
    <x v="4"/>
    <d v="2024-12-31T00:00:00"/>
    <s v="Tuesday"/>
    <s v="Zepto"/>
    <n v="485"/>
    <s v="Wants"/>
    <x v="9"/>
    <x v="1"/>
  </r>
  <r>
    <x v="4"/>
    <d v="2024-12-31T00:00:00"/>
    <s v="Tuesday"/>
    <s v="Instamart"/>
    <n v="481"/>
    <s v="Needs"/>
    <x v="6"/>
    <x v="1"/>
  </r>
  <r>
    <x v="4"/>
    <d v="2024-12-31T00:00:00"/>
    <s v="Tuesday"/>
    <s v="Swiggy"/>
    <n v="551"/>
    <s v="Wants"/>
    <x v="5"/>
    <x v="1"/>
  </r>
  <r>
    <x v="5"/>
    <d v="2025-01-01T00:00:00"/>
    <s v="Wednesday"/>
    <s v="Rent + Maintainence"/>
    <n v="20666.666666666668"/>
    <s v="Needs"/>
    <x v="1"/>
    <x v="1"/>
  </r>
  <r>
    <x v="5"/>
    <d v="2025-01-01T00:00:00"/>
    <s v="Wednesday"/>
    <s v="Zepto"/>
    <n v="254"/>
    <s v="Wants"/>
    <x v="5"/>
    <x v="1"/>
  </r>
  <r>
    <x v="5"/>
    <d v="2025-01-02T00:00:00"/>
    <s v="Thursday"/>
    <s v="To office"/>
    <n v="54"/>
    <s v="Needs"/>
    <x v="15"/>
    <x v="1"/>
  </r>
  <r>
    <x v="5"/>
    <d v="2025-01-02T00:00:00"/>
    <s v="Thursday"/>
    <s v="SmartQ"/>
    <n v="214"/>
    <s v="Needs"/>
    <x v="12"/>
    <x v="1"/>
  </r>
  <r>
    <x v="5"/>
    <d v="2025-01-02T00:00:00"/>
    <s v="Thursday"/>
    <s v="Biriyanis and More"/>
    <n v="271.66666666666669"/>
    <s v="Wants"/>
    <x v="5"/>
    <x v="8"/>
  </r>
  <r>
    <x v="5"/>
    <d v="2025-01-02T00:00:00"/>
    <s v="Thursday"/>
    <s v="Groceries balance (splitwise)"/>
    <n v="1420"/>
    <s v="Needs"/>
    <x v="6"/>
    <x v="1"/>
  </r>
  <r>
    <x v="5"/>
    <d v="2025-01-03T00:00:00"/>
    <s v="Friday"/>
    <s v="MF"/>
    <n v="15000"/>
    <s v="Investments"/>
    <x v="13"/>
    <x v="1"/>
  </r>
  <r>
    <x v="5"/>
    <d v="2025-01-03T00:00:00"/>
    <s v="Friday"/>
    <s v="To office"/>
    <n v="43"/>
    <s v="Needs"/>
    <x v="15"/>
    <x v="1"/>
  </r>
  <r>
    <x v="5"/>
    <d v="2025-01-03T00:00:00"/>
    <s v="Friday"/>
    <s v="To home"/>
    <n v="28"/>
    <s v="Needs"/>
    <x v="15"/>
    <x v="1"/>
  </r>
  <r>
    <x v="5"/>
    <d v="2025-01-03T00:00:00"/>
    <s v="Friday"/>
    <s v="Smartwatch"/>
    <n v="2984"/>
    <s v="Wants"/>
    <x v="9"/>
    <x v="1"/>
  </r>
  <r>
    <x v="5"/>
    <d v="2025-01-03T00:00:00"/>
    <s v="Friday"/>
    <s v="Swiggy"/>
    <n v="434"/>
    <s v="Wants"/>
    <x v="5"/>
    <x v="1"/>
  </r>
  <r>
    <x v="5"/>
    <d v="2025-01-03T00:00:00"/>
    <s v="Friday"/>
    <s v="movie ticket"/>
    <n v="53"/>
    <s v="Wants"/>
    <x v="10"/>
    <x v="3"/>
  </r>
  <r>
    <x v="5"/>
    <d v="2025-01-04T00:00:00"/>
    <s v="Saturday"/>
    <s v="to badminton"/>
    <n v="53"/>
    <s v="Wants"/>
    <x v="4"/>
    <x v="6"/>
  </r>
  <r>
    <x v="5"/>
    <d v="2025-01-04T00:00:00"/>
    <s v="Saturday"/>
    <s v="Swiggy"/>
    <n v="222"/>
    <s v="Wants"/>
    <x v="5"/>
    <x v="1"/>
  </r>
  <r>
    <x v="5"/>
    <d v="2025-01-04T00:00:00"/>
    <s v="Saturday"/>
    <s v="To metro"/>
    <n v="41"/>
    <s v="Wants"/>
    <x v="4"/>
    <x v="1"/>
  </r>
  <r>
    <x v="5"/>
    <d v="2025-01-04T00:00:00"/>
    <s v="Saturday"/>
    <s v="metro fruits"/>
    <n v="35"/>
    <s v="Wants"/>
    <x v="5"/>
    <x v="1"/>
  </r>
  <r>
    <x v="5"/>
    <d v="2025-01-04T00:00:00"/>
    <s v="Saturday"/>
    <s v="metro"/>
    <n v="100"/>
    <s v="Wants"/>
    <x v="4"/>
    <x v="3"/>
  </r>
  <r>
    <x v="5"/>
    <d v="2025-01-04T00:00:00"/>
    <s v="Saturday"/>
    <s v="bawarchi"/>
    <n v="364"/>
    <s v="Wants"/>
    <x v="5"/>
    <x v="1"/>
  </r>
  <r>
    <x v="5"/>
    <d v="2025-01-04T00:00:00"/>
    <s v="Saturday"/>
    <s v="to home"/>
    <n v="47"/>
    <s v="Wants"/>
    <x v="4"/>
    <x v="3"/>
  </r>
  <r>
    <x v="5"/>
    <d v="2025-01-05T00:00:00"/>
    <s v="Sunday"/>
    <s v="Zepto"/>
    <n v="502"/>
    <s v="Wants"/>
    <x v="5"/>
    <x v="1"/>
  </r>
  <r>
    <x v="5"/>
    <d v="2025-01-05T00:00:00"/>
    <s v="Sunday"/>
    <s v="Badminton"/>
    <n v="310"/>
    <s v="Wants"/>
    <x v="10"/>
    <x v="6"/>
  </r>
  <r>
    <x v="5"/>
    <d v="2025-01-05T00:00:00"/>
    <s v="Sunday"/>
    <s v="Badminton"/>
    <n v="205"/>
    <s v="Wants"/>
    <x v="10"/>
    <x v="6"/>
  </r>
  <r>
    <x v="5"/>
    <d v="2025-01-06T00:00:00"/>
    <s v="Monday"/>
    <s v="To office"/>
    <n v="56"/>
    <s v="Needs"/>
    <x v="15"/>
    <x v="1"/>
  </r>
  <r>
    <x v="5"/>
    <d v="2025-01-06T00:00:00"/>
    <s v="Monday"/>
    <s v="Pakwan grand lunch"/>
    <n v="1032"/>
    <s v="Needs"/>
    <x v="12"/>
    <x v="1"/>
  </r>
  <r>
    <x v="5"/>
    <d v="2025-01-06T00:00:00"/>
    <s v="Monday"/>
    <s v="Swiggy"/>
    <n v="732"/>
    <s v="Wants"/>
    <x v="5"/>
    <x v="1"/>
  </r>
  <r>
    <x v="5"/>
    <d v="2025-01-07T00:00:00"/>
    <s v="Tuesday"/>
    <s v="Swiggy"/>
    <n v="805"/>
    <s v="Wants"/>
    <x v="5"/>
    <x v="1"/>
  </r>
  <r>
    <x v="5"/>
    <d v="2025-01-07T00:00:00"/>
    <s v="Tuesday"/>
    <s v="Spotify"/>
    <n v="119"/>
    <s v="Wants"/>
    <x v="8"/>
    <x v="1"/>
  </r>
  <r>
    <x v="5"/>
    <d v="2025-01-08T00:00:00"/>
    <s v="Wednesday"/>
    <s v="to office"/>
    <n v="94"/>
    <s v="Needs"/>
    <x v="15"/>
    <x v="1"/>
  </r>
  <r>
    <x v="5"/>
    <d v="2025-01-08T00:00:00"/>
    <s v="Wednesday"/>
    <s v="to home"/>
    <n v="48"/>
    <s v="Needs"/>
    <x v="15"/>
    <x v="1"/>
  </r>
  <r>
    <x v="5"/>
    <d v="2025-01-09T00:00:00"/>
    <s v="Thursday"/>
    <s v="to office"/>
    <n v="50"/>
    <s v="Needs"/>
    <x v="15"/>
    <x v="1"/>
  </r>
  <r>
    <x v="5"/>
    <d v="2025-01-09T00:00:00"/>
    <s v="Thursday"/>
    <s v="airtel recharge"/>
    <n v="534"/>
    <s v="Needs"/>
    <x v="14"/>
    <x v="1"/>
  </r>
  <r>
    <x v="5"/>
    <d v="2025-01-09T00:00:00"/>
    <s v="Thursday"/>
    <s v="SmartQ"/>
    <n v="110"/>
    <s v="Needs"/>
    <x v="12"/>
    <x v="1"/>
  </r>
  <r>
    <x v="5"/>
    <d v="2025-01-10T00:00:00"/>
    <s v="Friday"/>
    <s v="Swiggy"/>
    <n v="519"/>
    <s v="Wants"/>
    <x v="5"/>
    <x v="1"/>
  </r>
  <r>
    <x v="5"/>
    <d v="2025-01-10T00:00:00"/>
    <s v="Friday"/>
    <s v="to office"/>
    <n v="54"/>
    <s v="Needs"/>
    <x v="15"/>
    <x v="1"/>
  </r>
  <r>
    <x v="5"/>
    <d v="2025-01-11T00:00:00"/>
    <s v="Saturday"/>
    <s v="Panchakattu dosa w bittu dada"/>
    <n v="310"/>
    <s v="Wants"/>
    <x v="5"/>
    <x v="1"/>
  </r>
  <r>
    <x v="5"/>
    <d v="2025-01-11T00:00:00"/>
    <s v="Saturday"/>
    <s v="Coconut water"/>
    <n v="120"/>
    <s v="Wants"/>
    <x v="5"/>
    <x v="1"/>
  </r>
  <r>
    <x v="5"/>
    <d v="2025-01-11T00:00:00"/>
    <s v="Saturday"/>
    <s v="Swiggy"/>
    <n v="595"/>
    <s v="Wants"/>
    <x v="5"/>
    <x v="1"/>
  </r>
  <r>
    <x v="5"/>
    <d v="2025-01-12T00:00:00"/>
    <s v="Sunday"/>
    <s v="Swiggy"/>
    <n v="805"/>
    <s v="Wants"/>
    <x v="5"/>
    <x v="1"/>
  </r>
  <r>
    <x v="5"/>
    <d v="2025-01-12T00:00:00"/>
    <s v="Sunday"/>
    <s v="Water can refill"/>
    <n v="40"/>
    <s v="Needs"/>
    <x v="6"/>
    <x v="1"/>
  </r>
  <r>
    <x v="5"/>
    <d v="2025-01-13T00:00:00"/>
    <s v="Monday"/>
    <s v="Jio Cinema"/>
    <n v="29"/>
    <s v="Wants"/>
    <x v="8"/>
    <x v="1"/>
  </r>
  <r>
    <x v="5"/>
    <d v="2025-01-13T00:00:00"/>
    <s v="Monday"/>
    <s v="to office"/>
    <n v="47"/>
    <s v="Needs"/>
    <x v="15"/>
    <x v="1"/>
  </r>
  <r>
    <x v="5"/>
    <d v="2025-01-13T00:00:00"/>
    <s v="Monday"/>
    <s v="badminton early dues"/>
    <n v="400"/>
    <s v="Wants"/>
    <x v="10"/>
    <x v="6"/>
  </r>
  <r>
    <x v="5"/>
    <d v="2025-01-13T00:00:00"/>
    <s v="Monday"/>
    <s v="SmartQ"/>
    <n v="195"/>
    <s v="Needs"/>
    <x v="12"/>
    <x v="1"/>
  </r>
  <r>
    <x v="5"/>
    <d v="2025-01-14T00:00:00"/>
    <s v="Tuesday"/>
    <s v="Zepto"/>
    <n v="566.66666666666663"/>
    <s v="Needs"/>
    <x v="0"/>
    <x v="1"/>
  </r>
  <r>
    <x v="5"/>
    <d v="2025-01-14T00:00:00"/>
    <s v="Tuesday"/>
    <s v="Swiggy"/>
    <n v="525"/>
    <s v="Needs"/>
    <x v="0"/>
    <x v="1"/>
  </r>
  <r>
    <x v="5"/>
    <d v="2025-01-14T00:00:00"/>
    <s v="Tuesday"/>
    <s v="Flight tickets (hyd to cok, cok to hyd)"/>
    <n v="11202.5"/>
    <s v="Needs"/>
    <x v="0"/>
    <x v="9"/>
  </r>
  <r>
    <x v="5"/>
    <d v="2025-01-14T00:00:00"/>
    <s v="Tuesday"/>
    <s v="MMT Package 1st half"/>
    <n v="5734"/>
    <s v="Wants"/>
    <x v="10"/>
    <x v="9"/>
  </r>
  <r>
    <x v="5"/>
    <d v="2025-01-15T00:00:00"/>
    <s v="Wednesday"/>
    <s v="To office"/>
    <n v="56"/>
    <s v="Needs"/>
    <x v="15"/>
    <x v="1"/>
  </r>
  <r>
    <x v="5"/>
    <d v="2025-01-15T00:00:00"/>
    <s v="Wednesday"/>
    <s v="SmartQ lunch and dinner"/>
    <n v="359"/>
    <s v="Needs"/>
    <x v="12"/>
    <x v="1"/>
  </r>
  <r>
    <x v="5"/>
    <d v="2025-01-16T00:00:00"/>
    <s v="Thursday"/>
    <s v="To office"/>
    <n v="55"/>
    <s v="Needs"/>
    <x v="15"/>
    <x v="1"/>
  </r>
  <r>
    <x v="5"/>
    <d v="2025-01-16T00:00:00"/>
    <s v="Thursday"/>
    <s v="SmartQ"/>
    <n v="155"/>
    <s v="Needs"/>
    <x v="12"/>
    <x v="1"/>
  </r>
  <r>
    <x v="5"/>
    <d v="2025-01-16T00:00:00"/>
    <s v="Thursday"/>
    <s v="Biriyani's and More"/>
    <n v="285"/>
    <s v="Wants"/>
    <x v="5"/>
    <x v="1"/>
  </r>
  <r>
    <x v="5"/>
    <d v="2025-01-16T00:00:00"/>
    <s v="Thursday"/>
    <s v="Coffee"/>
    <n v="40"/>
    <s v="Wants"/>
    <x v="5"/>
    <x v="1"/>
  </r>
  <r>
    <x v="5"/>
    <d v="2025-01-17T00:00:00"/>
    <s v="Friday"/>
    <s v="Interstellar ticket"/>
    <n v="328"/>
    <s v="Wants"/>
    <x v="10"/>
    <x v="3"/>
  </r>
  <r>
    <x v="5"/>
    <d v="2025-01-17T00:00:00"/>
    <s v="Friday"/>
    <s v="To office"/>
    <n v="56"/>
    <s v="Needs"/>
    <x v="15"/>
    <x v="1"/>
  </r>
  <r>
    <x v="5"/>
    <d v="2025-01-17T00:00:00"/>
    <s v="Friday"/>
    <s v="SmartQ"/>
    <n v="145"/>
    <s v="Needs"/>
    <x v="12"/>
    <x v="1"/>
  </r>
  <r>
    <x v="5"/>
    <d v="2025-01-17T00:00:00"/>
    <s v="Friday"/>
    <s v="Fruits and vegetables"/>
    <n v="216.66666666666669"/>
    <s v="Needs"/>
    <x v="6"/>
    <x v="1"/>
  </r>
  <r>
    <x v="5"/>
    <d v="2025-01-17T00:00:00"/>
    <s v="Friday"/>
    <s v="Bike to market (for walk)"/>
    <n v="45"/>
    <s v="Wants"/>
    <x v="4"/>
    <x v="8"/>
  </r>
  <r>
    <x v="5"/>
    <d v="2025-01-18T00:00:00"/>
    <s v="Saturday"/>
    <s v="Swiggy"/>
    <n v="356"/>
    <s v="Wants"/>
    <x v="5"/>
    <x v="1"/>
  </r>
  <r>
    <x v="5"/>
    <d v="2025-01-19T00:00:00"/>
    <s v="Sunday"/>
    <s v="Zepto"/>
    <n v="696"/>
    <s v="Needs"/>
    <x v="6"/>
    <x v="1"/>
  </r>
  <r>
    <x v="5"/>
    <d v="2025-01-19T00:00:00"/>
    <s v="Sunday"/>
    <s v="Haircut"/>
    <n v="150"/>
    <s v="Needs"/>
    <x v="11"/>
    <x v="1"/>
  </r>
  <r>
    <x v="5"/>
    <d v="2025-01-20T00:00:00"/>
    <s v="Monday"/>
    <s v="To office"/>
    <n v="50"/>
    <s v="Needs"/>
    <x v="15"/>
    <x v="1"/>
  </r>
  <r>
    <x v="5"/>
    <d v="2025-01-20T00:00:00"/>
    <s v="Monday"/>
    <s v="SmartQ"/>
    <n v="174"/>
    <s v="Needs"/>
    <x v="12"/>
    <x v="1"/>
  </r>
  <r>
    <x v="5"/>
    <d v="2025-01-20T00:00:00"/>
    <s v="Monday"/>
    <s v="Coconut water"/>
    <n v="60"/>
    <s v="Wants"/>
    <x v="5"/>
    <x v="8"/>
  </r>
  <r>
    <x v="5"/>
    <d v="2025-01-21T00:00:00"/>
    <s v="Tuesday"/>
    <s v="Zepto"/>
    <n v="718.66666666666663"/>
    <s v="Wants"/>
    <x v="5"/>
    <x v="1"/>
  </r>
  <r>
    <x v="5"/>
    <d v="2025-01-21T00:00:00"/>
    <s v="Tuesday"/>
    <s v="Swiggy"/>
    <n v="326"/>
    <s v="Wants"/>
    <x v="5"/>
    <x v="1"/>
  </r>
  <r>
    <x v="5"/>
    <d v="2025-01-22T00:00:00"/>
    <s v="Wednesday"/>
    <s v="To office"/>
    <n v="53"/>
    <s v="Needs"/>
    <x v="15"/>
    <x v="1"/>
  </r>
  <r>
    <x v="5"/>
    <d v="2025-01-22T00:00:00"/>
    <s v="Wednesday"/>
    <s v="Biriayni's and More"/>
    <n v="350"/>
    <s v="Wants"/>
    <x v="5"/>
    <x v="8"/>
  </r>
  <r>
    <x v="5"/>
    <d v="2025-01-23T00:00:00"/>
    <s v="Thursday"/>
    <s v="Poojitha's Birthday gift+cake"/>
    <n v="375"/>
    <s v="Wants"/>
    <x v="2"/>
    <x v="1"/>
  </r>
  <r>
    <x v="5"/>
    <d v="2025-01-23T00:00:00"/>
    <s v="Thursday"/>
    <s v="Coffee"/>
    <n v="40"/>
    <s v="Needs"/>
    <x v="12"/>
    <x v="1"/>
  </r>
  <r>
    <x v="5"/>
    <d v="2025-01-24T00:00:00"/>
    <s v="Friday"/>
    <s v="To home"/>
    <n v="28"/>
    <s v="Wants"/>
    <x v="4"/>
    <x v="1"/>
  </r>
  <r>
    <x v="5"/>
    <d v="2025-01-24T00:00:00"/>
    <s v="Friday"/>
    <s v="Ed Sheeran Ticket Price"/>
    <n v="3984"/>
    <s v="Wants"/>
    <x v="10"/>
    <x v="10"/>
  </r>
  <r>
    <x v="5"/>
    <d v="2025-01-24T00:00:00"/>
    <s v="Friday"/>
    <s v="Shawarma"/>
    <n v="100"/>
    <s v="Wants"/>
    <x v="5"/>
    <x v="8"/>
  </r>
  <r>
    <x v="5"/>
    <d v="2025-01-24T00:00:00"/>
    <s v="Friday"/>
    <s v="Coconut Water"/>
    <n v="30"/>
    <s v="Wants"/>
    <x v="5"/>
    <x v="8"/>
  </r>
  <r>
    <x v="5"/>
    <d v="2025-01-24T00:00:00"/>
    <s v="Friday"/>
    <s v="Grapes"/>
    <n v="120"/>
    <s v="Needs"/>
    <x v="6"/>
    <x v="1"/>
  </r>
  <r>
    <x v="5"/>
    <d v="2025-01-25T00:00:00"/>
    <s v="Saturday"/>
    <s v="Bike to Pista house"/>
    <n v="26"/>
    <s v="Wants"/>
    <x v="4"/>
    <x v="1"/>
  </r>
  <r>
    <x v="5"/>
    <d v="2025-01-25T00:00:00"/>
    <s v="Saturday"/>
    <s v="Zoo Ticket"/>
    <n v="93.34"/>
    <s v="Wants"/>
    <x v="10"/>
    <x v="1"/>
  </r>
  <r>
    <x v="5"/>
    <d v="2025-01-25T00:00:00"/>
    <s v="Saturday"/>
    <s v="Zoo food"/>
    <n v="222"/>
    <s v="Wants"/>
    <x v="5"/>
    <x v="1"/>
  </r>
  <r>
    <x v="5"/>
    <d v="2025-01-25T00:00:00"/>
    <s v="Saturday"/>
    <s v="KFC"/>
    <n v="407"/>
    <s v="Wants"/>
    <x v="5"/>
    <x v="1"/>
  </r>
  <r>
    <x v="5"/>
    <d v="2025-01-26T00:00:00"/>
    <s v="Sunday"/>
    <s v="Subway"/>
    <n v="855"/>
    <s v="Wants"/>
    <x v="5"/>
    <x v="1"/>
  </r>
  <r>
    <x v="5"/>
    <d v="2025-01-26T00:00:00"/>
    <s v="Sunday"/>
    <s v="To Shlok"/>
    <n v="5000"/>
    <s v="Wants"/>
    <x v="2"/>
    <x v="1"/>
  </r>
  <r>
    <x v="5"/>
    <d v="2025-01-27T00:00:00"/>
    <s v="Monday"/>
    <s v="Zepto"/>
    <n v="361"/>
    <s v="Wants"/>
    <x v="5"/>
    <x v="1"/>
  </r>
  <r>
    <x v="5"/>
    <d v="2025-01-27T00:00:00"/>
    <s v="Monday"/>
    <s v="Angel one parked money"/>
    <n v="20000"/>
    <s v="Investments"/>
    <x v="13"/>
    <x v="1"/>
  </r>
  <r>
    <x v="5"/>
    <d v="2025-01-27T00:00:00"/>
    <s v="Monday"/>
    <s v="airtel recharge"/>
    <n v="530"/>
    <s v="Wants"/>
    <x v="5"/>
    <x v="1"/>
  </r>
  <r>
    <x v="5"/>
    <d v="2025-01-28T00:00:00"/>
    <s v="Tuesday"/>
    <s v="Swiggy"/>
    <n v="821"/>
    <s v="Wants"/>
    <x v="5"/>
    <x v="1"/>
  </r>
  <r>
    <x v="5"/>
    <d v="2025-01-28T00:00:00"/>
    <s v="Tuesday"/>
    <s v="Pani"/>
    <n v="240"/>
    <s v="Needs"/>
    <x v="6"/>
    <x v="1"/>
  </r>
  <r>
    <x v="5"/>
    <d v="2025-01-29T00:00:00"/>
    <s v="Wednesday"/>
    <s v="To office"/>
    <n v="51"/>
    <s v="Needs"/>
    <x v="15"/>
    <x v="1"/>
  </r>
  <r>
    <x v="5"/>
    <d v="2025-01-29T00:00:00"/>
    <s v="Wednesday"/>
    <s v="Swiggy"/>
    <n v="210"/>
    <s v="Wants"/>
    <x v="5"/>
    <x v="1"/>
  </r>
  <r>
    <x v="5"/>
    <d v="2025-01-30T00:00:00"/>
    <s v="Thursday"/>
    <s v="To office"/>
    <n v="49"/>
    <s v="Wants"/>
    <x v="5"/>
    <x v="1"/>
  </r>
  <r>
    <x v="5"/>
    <d v="2025-01-30T00:00:00"/>
    <s v="Thursday"/>
    <s v="SmartQ"/>
    <n v="90"/>
    <s v="Needs"/>
    <x v="15"/>
    <x v="1"/>
  </r>
  <r>
    <x v="5"/>
    <d v="2025-01-30T00:00:00"/>
    <s v="Thursday"/>
    <s v="Swiggy"/>
    <n v="462"/>
    <s v="Wants"/>
    <x v="5"/>
    <x v="1"/>
  </r>
  <r>
    <x v="5"/>
    <d v="2025-01-31T00:00:00"/>
    <s v="Friday"/>
    <s v="Swiggy"/>
    <n v="684"/>
    <s v="Wants"/>
    <x v="5"/>
    <x v="1"/>
  </r>
  <r>
    <x v="5"/>
    <d v="2025-01-31T00:00:00"/>
    <s v="Friday"/>
    <s v="Instamart"/>
    <n v="480"/>
    <s v="Wants"/>
    <x v="5"/>
    <x v="1"/>
  </r>
  <r>
    <x v="6"/>
    <d v="2025-02-01T00:00:00"/>
    <s v="Saturday"/>
    <s v="Cook"/>
    <n v="2000"/>
    <s v="Needs"/>
    <x v="20"/>
    <x v="1"/>
  </r>
  <r>
    <x v="6"/>
    <d v="2025-02-01T00:00:00"/>
    <s v="Saturday"/>
    <s v="Rent + Maintainence"/>
    <n v="20667"/>
    <s v="Needs"/>
    <x v="1"/>
    <x v="1"/>
  </r>
  <r>
    <x v="6"/>
    <d v="2025-02-01T00:00:00"/>
    <s v="Saturday"/>
    <s v="To raidurg"/>
    <n v="33"/>
    <s v="Wants"/>
    <x v="5"/>
    <x v="11"/>
  </r>
  <r>
    <x v="6"/>
    <d v="2025-02-01T00:00:00"/>
    <s v="Saturday"/>
    <s v="Metro to nampally"/>
    <n v="90"/>
    <s v="Wants"/>
    <x v="4"/>
    <x v="11"/>
  </r>
  <r>
    <x v="6"/>
    <d v="2025-02-01T00:00:00"/>
    <s v="Saturday"/>
    <s v="numaish ticket"/>
    <n v="50"/>
    <s v="Wants"/>
    <x v="4"/>
    <x v="11"/>
  </r>
  <r>
    <x v="6"/>
    <d v="2025-02-01T00:00:00"/>
    <s v="Saturday"/>
    <s v="plates"/>
    <n v="160"/>
    <s v="Wants"/>
    <x v="17"/>
    <x v="11"/>
  </r>
  <r>
    <x v="6"/>
    <d v="2025-02-01T00:00:00"/>
    <s v="Saturday"/>
    <s v="fish"/>
    <m/>
    <s v="Wants"/>
    <x v="5"/>
    <x v="11"/>
  </r>
  <r>
    <x v="6"/>
    <d v="2025-02-01T00:00:00"/>
    <s v="Saturday"/>
    <s v="pav bhaji"/>
    <n v="180"/>
    <s v="Wants"/>
    <x v="5"/>
    <x v="11"/>
  </r>
  <r>
    <x v="6"/>
    <d v="2025-02-01T00:00:00"/>
    <s v="Saturday"/>
    <s v="micchi bajji"/>
    <n v="33.333333333333336"/>
    <s v="Wants"/>
    <x v="5"/>
    <x v="11"/>
  </r>
  <r>
    <x v="6"/>
    <d v="2025-02-01T00:00:00"/>
    <s v="Saturday"/>
    <s v="Pen stands"/>
    <n v="160"/>
    <s v="Wants"/>
    <x v="17"/>
    <x v="11"/>
  </r>
  <r>
    <x v="6"/>
    <d v="2025-02-01T00:00:00"/>
    <s v="Saturday"/>
    <s v="Sweet Corn"/>
    <n v="50"/>
    <s v="Wants"/>
    <x v="5"/>
    <x v="11"/>
  </r>
  <r>
    <x v="6"/>
    <d v="2025-02-01T00:00:00"/>
    <s v="Saturday"/>
    <s v="Metro to raidurg"/>
    <n v="45"/>
    <s v="Wants"/>
    <x v="4"/>
    <x v="11"/>
  </r>
  <r>
    <x v="6"/>
    <d v="2025-02-01T00:00:00"/>
    <s v="Saturday"/>
    <s v="Bike home"/>
    <n v="47"/>
    <s v="Wants"/>
    <x v="4"/>
    <x v="11"/>
  </r>
  <r>
    <x v="6"/>
    <d v="2025-02-02T00:00:00"/>
    <s v="Sunday"/>
    <s v="Jio recharge 1 day"/>
    <n v="49"/>
    <s v="Needs"/>
    <x v="14"/>
    <x v="1"/>
  </r>
  <r>
    <x v="6"/>
    <d v="2025-02-02T00:00:00"/>
    <s v="Sunday"/>
    <s v="Ramoji transport"/>
    <n v="992"/>
    <s v="Wants"/>
    <x v="4"/>
    <x v="10"/>
  </r>
  <r>
    <x v="6"/>
    <d v="2025-02-02T00:00:00"/>
    <s v="Sunday"/>
    <s v="Concert drinks and food"/>
    <n v="2526"/>
    <s v="Wants"/>
    <x v="5"/>
    <x v="10"/>
  </r>
  <r>
    <x v="6"/>
    <d v="2025-02-02T00:00:00"/>
    <s v="Sunday"/>
    <s v="Burger"/>
    <n v="345"/>
    <s v="Wants"/>
    <x v="5"/>
    <x v="1"/>
  </r>
  <r>
    <x v="6"/>
    <d v="2025-02-02T00:00:00"/>
    <s v="Sunday"/>
    <s v="Harley's"/>
    <n v="260"/>
    <s v="Wants"/>
    <x v="5"/>
    <x v="1"/>
  </r>
  <r>
    <x v="6"/>
    <d v="2025-02-03T00:00:00"/>
    <s v="Monday"/>
    <s v="Mutual Funds"/>
    <n v="17000"/>
    <s v="Investments"/>
    <x v="13"/>
    <x v="1"/>
  </r>
  <r>
    <x v="6"/>
    <d v="2025-02-03T00:00:00"/>
    <s v="Monday"/>
    <m/>
    <m/>
    <e v="#N/A"/>
    <x v="21"/>
    <x v="1"/>
  </r>
  <r>
    <x v="6"/>
    <d v="2025-02-03T00:00:00"/>
    <s v="Monday"/>
    <m/>
    <m/>
    <e v="#N/A"/>
    <x v="21"/>
    <x v="1"/>
  </r>
  <r>
    <x v="6"/>
    <d v="2025-02-03T00:00:00"/>
    <s v="Monday"/>
    <m/>
    <m/>
    <e v="#N/A"/>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x v="0"/>
    <x v="0"/>
    <s v="Thursday"/>
    <s v="Tickets"/>
    <n v="2137"/>
    <x v="0"/>
    <x v="0"/>
  </r>
  <r>
    <x v="0"/>
    <x v="0"/>
    <s v="Thursday"/>
    <s v="Lko platform ticket"/>
    <n v="20"/>
    <x v="0"/>
    <x v="0"/>
  </r>
  <r>
    <x v="0"/>
    <x v="1"/>
    <s v="Friday"/>
    <s v="Rent + Maintainence"/>
    <n v="20734"/>
    <x v="0"/>
    <x v="1"/>
  </r>
  <r>
    <x v="0"/>
    <x v="1"/>
    <s v="Friday"/>
    <s v="Clothes for garv/shlok/neeraj da"/>
    <n v="3418.0549999999998"/>
    <x v="1"/>
    <x v="2"/>
  </r>
  <r>
    <x v="0"/>
    <x v="1"/>
    <s v="Friday"/>
    <s v="Clothes"/>
    <n v="3418.0549999999998"/>
    <x v="1"/>
    <x v="3"/>
  </r>
  <r>
    <x v="0"/>
    <x v="1"/>
    <s v="Friday"/>
    <s v="Chocolates"/>
    <n v="357"/>
    <x v="1"/>
    <x v="2"/>
  </r>
  <r>
    <x v="0"/>
    <x v="2"/>
    <s v="Saturday"/>
    <s v="Auto"/>
    <n v="55"/>
    <x v="1"/>
    <x v="4"/>
  </r>
  <r>
    <x v="0"/>
    <x v="2"/>
    <s v="Saturday"/>
    <s v="Nik Bakers: Lotus Cheesecake"/>
    <n v="320"/>
    <x v="1"/>
    <x v="5"/>
  </r>
  <r>
    <x v="0"/>
    <x v="2"/>
    <s v="Saturday"/>
    <s v="OvenFresh"/>
    <n v="1759"/>
    <x v="1"/>
    <x v="5"/>
  </r>
  <r>
    <x v="0"/>
    <x v="2"/>
    <s v="Saturday"/>
    <s v="Auto"/>
    <n v="55"/>
    <x v="1"/>
    <x v="4"/>
  </r>
  <r>
    <x v="0"/>
    <x v="2"/>
    <s v="Saturday"/>
    <s v="Auto"/>
    <n v="81"/>
    <x v="1"/>
    <x v="4"/>
  </r>
  <r>
    <x v="0"/>
    <x v="3"/>
    <s v="Sunday"/>
    <s v="Froyo"/>
    <n v="270"/>
    <x v="1"/>
    <x v="5"/>
  </r>
  <r>
    <x v="0"/>
    <x v="3"/>
    <s v="Sunday"/>
    <s v="Kalsang"/>
    <n v="1704"/>
    <x v="1"/>
    <x v="5"/>
  </r>
  <r>
    <x v="0"/>
    <x v="4"/>
    <s v="Monday"/>
    <s v="Auto to home"/>
    <n v="149"/>
    <x v="1"/>
    <x v="4"/>
  </r>
  <r>
    <x v="0"/>
    <x v="4"/>
    <s v="Monday"/>
    <s v="Chennai return tickets"/>
    <n v="7005"/>
    <x v="0"/>
    <x v="0"/>
  </r>
  <r>
    <x v="0"/>
    <x v="5"/>
    <s v="Tuesday"/>
    <s v="Licious"/>
    <n v="823"/>
    <x v="0"/>
    <x v="6"/>
  </r>
  <r>
    <x v="0"/>
    <x v="5"/>
    <s v="Tuesday"/>
    <s v="Blinkit"/>
    <n v="636"/>
    <x v="0"/>
    <x v="6"/>
  </r>
  <r>
    <x v="0"/>
    <x v="6"/>
    <s v="Wednesday"/>
    <s v="idk"/>
    <n v="60"/>
    <x v="1"/>
    <x v="7"/>
  </r>
  <r>
    <x v="0"/>
    <x v="6"/>
    <s v="Wednesday"/>
    <s v="Swiggy"/>
    <n v="1180"/>
    <x v="1"/>
    <x v="5"/>
  </r>
  <r>
    <x v="0"/>
    <x v="6"/>
    <s v="Wednesday"/>
    <s v="Spotify"/>
    <n v="119"/>
    <x v="1"/>
    <x v="8"/>
  </r>
  <r>
    <x v="0"/>
    <x v="6"/>
    <s v="Wednesday"/>
    <s v="Youtube Premimum"/>
    <n v="129"/>
    <x v="1"/>
    <x v="8"/>
  </r>
  <r>
    <x v="0"/>
    <x v="7"/>
    <s v="Thursday"/>
    <s v="idk"/>
    <n v="69"/>
    <x v="1"/>
    <x v="7"/>
  </r>
  <r>
    <x v="0"/>
    <x v="8"/>
    <s v="Friday"/>
    <s v="New Earphones"/>
    <n v="2009"/>
    <x v="1"/>
    <x v="9"/>
  </r>
  <r>
    <x v="0"/>
    <x v="9"/>
    <s v="Sunday"/>
    <s v="Auto to mall"/>
    <n v="63"/>
    <x v="1"/>
    <x v="4"/>
  </r>
  <r>
    <x v="0"/>
    <x v="9"/>
    <s v="Sunday"/>
    <s v="Sarath City Arcade"/>
    <n v="1100"/>
    <x v="1"/>
    <x v="10"/>
  </r>
  <r>
    <x v="0"/>
    <x v="9"/>
    <s v="Sunday"/>
    <s v="Auto to home"/>
    <n v="145"/>
    <x v="1"/>
    <x v="4"/>
  </r>
  <r>
    <x v="0"/>
    <x v="9"/>
    <s v="Sunday"/>
    <s v="Documents Prinout"/>
    <n v="120"/>
    <x v="0"/>
    <x v="11"/>
  </r>
  <r>
    <x v="0"/>
    <x v="9"/>
    <s v="Sunday"/>
    <s v="Auto to hotel"/>
    <n v="113"/>
    <x v="1"/>
    <x v="4"/>
  </r>
  <r>
    <x v="0"/>
    <x v="10"/>
    <s v="Monday"/>
    <s v="Auto"/>
    <n v="154"/>
    <x v="1"/>
    <x v="4"/>
  </r>
  <r>
    <x v="0"/>
    <x v="10"/>
    <s v="Monday"/>
    <s v="SmartQ"/>
    <n v="38"/>
    <x v="0"/>
    <x v="12"/>
  </r>
  <r>
    <x v="0"/>
    <x v="11"/>
    <s v="Tuesday"/>
    <s v="Dropout Subscription"/>
    <n v="159"/>
    <x v="1"/>
    <x v="8"/>
  </r>
  <r>
    <x v="0"/>
    <x v="12"/>
    <s v="Wednesday"/>
    <s v="SmartQ"/>
    <n v="83"/>
    <x v="0"/>
    <x v="12"/>
  </r>
  <r>
    <x v="0"/>
    <x v="13"/>
    <s v="Thursday"/>
    <s v="Re-book chennai return tickets"/>
    <n v="3478"/>
    <x v="0"/>
    <x v="0"/>
  </r>
  <r>
    <x v="0"/>
    <x v="13"/>
    <s v="Thursday"/>
    <s v="idk"/>
    <n v="93"/>
    <x v="1"/>
    <x v="7"/>
  </r>
  <r>
    <x v="0"/>
    <x v="13"/>
    <s v="Thursday"/>
    <s v="idk"/>
    <n v="115"/>
    <x v="1"/>
    <x v="7"/>
  </r>
  <r>
    <x v="0"/>
    <x v="14"/>
    <s v="Friday"/>
    <s v="SmartQ"/>
    <n v="95"/>
    <x v="0"/>
    <x v="12"/>
  </r>
  <r>
    <x v="0"/>
    <x v="14"/>
    <s v="Friday"/>
    <s v="Rapido to home"/>
    <n v="47"/>
    <x v="1"/>
    <x v="4"/>
  </r>
  <r>
    <x v="0"/>
    <x v="14"/>
    <s v="Friday"/>
    <s v="Cab to aiport"/>
    <n v="226.66666666666666"/>
    <x v="1"/>
    <x v="4"/>
  </r>
  <r>
    <x v="0"/>
    <x v="14"/>
    <s v="Friday"/>
    <s v="Dinner @ Zaitoon"/>
    <n v="1574"/>
    <x v="1"/>
    <x v="5"/>
  </r>
  <r>
    <x v="0"/>
    <x v="15"/>
    <s v="Saturday"/>
    <s v="Cab to VIT"/>
    <n v="390"/>
    <x v="1"/>
    <x v="4"/>
  </r>
  <r>
    <x v="0"/>
    <x v="15"/>
    <s v="Saturday"/>
    <s v="Food @ VIT"/>
    <n v="120"/>
    <x v="1"/>
    <x v="5"/>
  </r>
  <r>
    <x v="0"/>
    <x v="15"/>
    <s v="Saturday"/>
    <s v="Cab to hotel"/>
    <n v="130"/>
    <x v="1"/>
    <x v="4"/>
  </r>
  <r>
    <x v="0"/>
    <x v="15"/>
    <s v="Saturday"/>
    <s v="Auto to mall"/>
    <n v="120"/>
    <x v="1"/>
    <x v="4"/>
  </r>
  <r>
    <x v="0"/>
    <x v="15"/>
    <s v="Saturday"/>
    <s v="Cookbook"/>
    <n v="300"/>
    <x v="1"/>
    <x v="9"/>
  </r>
  <r>
    <x v="0"/>
    <x v="15"/>
    <s v="Saturday"/>
    <s v="Dinner"/>
    <n v="1574"/>
    <x v="1"/>
    <x v="5"/>
  </r>
  <r>
    <x v="0"/>
    <x v="15"/>
    <s v="Saturday"/>
    <s v="Auto to hotel"/>
    <n v="50"/>
    <x v="1"/>
    <x v="4"/>
  </r>
  <r>
    <x v="0"/>
    <x v="16"/>
    <s v="Sunday"/>
    <s v="Suitcase storage @ mall"/>
    <n v="41.3"/>
    <x v="0"/>
    <x v="11"/>
  </r>
  <r>
    <x v="0"/>
    <x v="16"/>
    <s v="Sunday"/>
    <s v="water @ airport"/>
    <n v="70"/>
    <x v="1"/>
    <x v="5"/>
  </r>
  <r>
    <x v="0"/>
    <x v="16"/>
    <s v="Sunday"/>
    <s v="Bus to home"/>
    <n v="250"/>
    <x v="1"/>
    <x v="4"/>
  </r>
  <r>
    <x v="0"/>
    <x v="16"/>
    <s v="Sunday"/>
    <s v="Cab to hotel"/>
    <n v="86"/>
    <x v="1"/>
    <x v="4"/>
  </r>
  <r>
    <x v="0"/>
    <x v="16"/>
    <s v="Sunday"/>
    <s v="Amazon"/>
    <n v="996"/>
    <x v="1"/>
    <x v="9"/>
  </r>
  <r>
    <x v="0"/>
    <x v="17"/>
    <s v="Monday"/>
    <s v="Rakshabandhan gifts"/>
    <n v="4000"/>
    <x v="1"/>
    <x v="2"/>
  </r>
  <r>
    <x v="0"/>
    <x v="18"/>
    <s v="Tuesday"/>
    <s v="idk (to poojitha)"/>
    <n v="130"/>
    <x v="1"/>
    <x v="7"/>
  </r>
  <r>
    <x v="0"/>
    <x v="18"/>
    <s v="Tuesday"/>
    <s v="SmartQ"/>
    <n v="130"/>
    <x v="0"/>
    <x v="12"/>
  </r>
  <r>
    <x v="0"/>
    <x v="18"/>
    <s v="Tuesday"/>
    <s v="Steam Giftcard"/>
    <n v="500"/>
    <x v="1"/>
    <x v="9"/>
  </r>
  <r>
    <x v="0"/>
    <x v="19"/>
    <s v="Wednesday"/>
    <s v="SmartQ"/>
    <n v="185"/>
    <x v="0"/>
    <x v="12"/>
  </r>
  <r>
    <x v="0"/>
    <x v="19"/>
    <s v="Wednesday"/>
    <s v="Poojitha Rakshabandhan gift"/>
    <n v="150"/>
    <x v="1"/>
    <x v="2"/>
  </r>
  <r>
    <x v="0"/>
    <x v="19"/>
    <s v="Wednesday"/>
    <s v="Netflix "/>
    <n v="199"/>
    <x v="1"/>
    <x v="8"/>
  </r>
  <r>
    <x v="0"/>
    <x v="20"/>
    <s v="Thursday"/>
    <s v="SmartQ"/>
    <n v="115"/>
    <x v="0"/>
    <x v="12"/>
  </r>
  <r>
    <x v="0"/>
    <x v="20"/>
    <s v="Thursday"/>
    <s v="idk (sabhavat satish)"/>
    <n v="123"/>
    <x v="1"/>
    <x v="7"/>
  </r>
  <r>
    <x v="0"/>
    <x v="20"/>
    <s v="Thursday"/>
    <s v="idk (mudavath santhosh)"/>
    <n v="80"/>
    <x v="1"/>
    <x v="7"/>
  </r>
  <r>
    <x v="0"/>
    <x v="21"/>
    <s v="Friday"/>
    <s v="SmartQ"/>
    <n v="174"/>
    <x v="0"/>
    <x v="12"/>
  </r>
  <r>
    <x v="0"/>
    <x v="21"/>
    <s v="Friday"/>
    <s v="Angel One (MF trial)"/>
    <n v="1000"/>
    <x v="2"/>
    <x v="13"/>
  </r>
  <r>
    <x v="0"/>
    <x v="22"/>
    <s v="Saturday"/>
    <s v="Auto to home"/>
    <n v="91"/>
    <x v="1"/>
    <x v="4"/>
  </r>
  <r>
    <x v="0"/>
    <x v="22"/>
    <s v="Saturday"/>
    <s v="Airtel sim+wifi bill"/>
    <n v="1810.1599999999999"/>
    <x v="0"/>
    <x v="14"/>
  </r>
  <r>
    <x v="0"/>
    <x v="23"/>
    <s v="Sunday"/>
    <s v="Amazon"/>
    <n v="1929"/>
    <x v="1"/>
    <x v="9"/>
  </r>
  <r>
    <x v="0"/>
    <x v="23"/>
    <s v="Sunday"/>
    <s v="zepto"/>
    <n v="748"/>
    <x v="0"/>
    <x v="6"/>
  </r>
  <r>
    <x v="0"/>
    <x v="24"/>
    <s v="Monday"/>
    <s v="Auto to office"/>
    <n v="61"/>
    <x v="0"/>
    <x v="15"/>
  </r>
  <r>
    <x v="0"/>
    <x v="24"/>
    <s v="Monday"/>
    <s v="SmartQ"/>
    <n v="250"/>
    <x v="0"/>
    <x v="12"/>
  </r>
  <r>
    <x v="0"/>
    <x v="24"/>
    <s v="Monday"/>
    <s v="Auto to home"/>
    <n v="83"/>
    <x v="0"/>
    <x v="15"/>
  </r>
  <r>
    <x v="0"/>
    <x v="24"/>
    <s v="Monday"/>
    <s v="Zepto"/>
    <n v="391"/>
    <x v="0"/>
    <x v="6"/>
  </r>
  <r>
    <x v="0"/>
    <x v="25"/>
    <s v="Tuesday"/>
    <s v="SmartQ"/>
    <n v="190"/>
    <x v="0"/>
    <x v="12"/>
  </r>
  <r>
    <x v="0"/>
    <x v="26"/>
    <s v="Wednesday"/>
    <s v="Auto to office"/>
    <n v="66"/>
    <x v="0"/>
    <x v="15"/>
  </r>
  <r>
    <x v="0"/>
    <x v="26"/>
    <s v="Wednesday"/>
    <s v="SmartQ"/>
    <n v="185"/>
    <x v="0"/>
    <x v="12"/>
  </r>
  <r>
    <x v="0"/>
    <x v="26"/>
    <s v="Wednesday"/>
    <s v="Auto to Sarath"/>
    <n v="46.75"/>
    <x v="1"/>
    <x v="4"/>
  </r>
  <r>
    <x v="0"/>
    <x v="26"/>
    <s v="Wednesday"/>
    <s v="Food @ Sarath"/>
    <n v="207"/>
    <x v="1"/>
    <x v="5"/>
  </r>
  <r>
    <x v="0"/>
    <x v="26"/>
    <s v="Wednesday"/>
    <s v="Auto to home"/>
    <n v="58"/>
    <x v="1"/>
    <x v="4"/>
  </r>
  <r>
    <x v="0"/>
    <x v="26"/>
    <s v="Wednesday"/>
    <s v="Books @ Bookfair"/>
    <n v="700"/>
    <x v="1"/>
    <x v="9"/>
  </r>
  <r>
    <x v="0"/>
    <x v="27"/>
    <s v="Thursday"/>
    <s v="SmartQ"/>
    <n v="184"/>
    <x v="0"/>
    <x v="12"/>
  </r>
  <r>
    <x v="0"/>
    <x v="27"/>
    <s v="Thursday"/>
    <s v="Juice"/>
    <n v="30"/>
    <x v="0"/>
    <x v="12"/>
  </r>
  <r>
    <x v="0"/>
    <x v="28"/>
    <s v="Friday"/>
    <s v="Auto to office"/>
    <n v="80"/>
    <x v="0"/>
    <x v="15"/>
  </r>
  <r>
    <x v="0"/>
    <x v="28"/>
    <s v="Friday"/>
    <s v="SmartQ"/>
    <n v="648"/>
    <x v="0"/>
    <x v="12"/>
  </r>
  <r>
    <x v="0"/>
    <x v="29"/>
    <s v="Saturday"/>
    <s v="Zepto"/>
    <n v="914.6"/>
    <x v="0"/>
    <x v="6"/>
  </r>
  <r>
    <x v="0"/>
    <x v="29"/>
    <s v="Saturday"/>
    <s v="Auto to metro"/>
    <n v="69"/>
    <x v="1"/>
    <x v="4"/>
  </r>
  <r>
    <x v="0"/>
    <x v="29"/>
    <s v="Saturday"/>
    <s v="Snacks @ Metro Station"/>
    <n v="215"/>
    <x v="1"/>
    <x v="5"/>
  </r>
  <r>
    <x v="0"/>
    <x v="29"/>
    <s v="Saturday"/>
    <s v="Metro tickets"/>
    <n v="80"/>
    <x v="1"/>
    <x v="4"/>
  </r>
  <r>
    <x v="0"/>
    <x v="29"/>
    <s v="Saturday"/>
    <s v="Swiggy"/>
    <n v="599"/>
    <x v="1"/>
    <x v="5"/>
  </r>
  <r>
    <x v="0"/>
    <x v="29"/>
    <s v="Saturday"/>
    <s v="Groceries"/>
    <n v="110"/>
    <x v="0"/>
    <x v="6"/>
  </r>
  <r>
    <x v="0"/>
    <x v="29"/>
    <s v="Saturday"/>
    <s v="Escape room"/>
    <n v="750"/>
    <x v="1"/>
    <x v="10"/>
  </r>
  <r>
    <x v="0"/>
    <x v="29"/>
    <s v="Saturday"/>
    <s v="Movie"/>
    <n v="328"/>
    <x v="1"/>
    <x v="10"/>
  </r>
  <r>
    <x v="0"/>
    <x v="29"/>
    <s v="Saturday"/>
    <s v="Frankie"/>
    <n v="130"/>
    <x v="1"/>
    <x v="5"/>
  </r>
  <r>
    <x v="1"/>
    <x v="30"/>
    <s v="Sunday"/>
    <s v="Water Can"/>
    <n v="105"/>
    <x v="0"/>
    <x v="6"/>
  </r>
  <r>
    <x v="1"/>
    <x v="31"/>
    <s v="Monday"/>
    <s v="Swiggy"/>
    <n v="699"/>
    <x v="1"/>
    <x v="5"/>
  </r>
  <r>
    <x v="1"/>
    <x v="32"/>
    <s v="Tuesday"/>
    <s v="Zepto"/>
    <n v="340.75"/>
    <x v="0"/>
    <x v="6"/>
  </r>
  <r>
    <x v="1"/>
    <x v="33"/>
    <s v="Wednesday"/>
    <s v="SmartQ"/>
    <n v="352"/>
    <x v="0"/>
    <x v="12"/>
  </r>
  <r>
    <x v="1"/>
    <x v="34"/>
    <s v="Thursday"/>
    <s v="Auto to Office"/>
    <n v="111"/>
    <x v="0"/>
    <x v="15"/>
  </r>
  <r>
    <x v="1"/>
    <x v="34"/>
    <s v="Thursday"/>
    <s v="SmartQ"/>
    <n v="214"/>
    <x v="0"/>
    <x v="12"/>
  </r>
  <r>
    <x v="1"/>
    <x v="35"/>
    <s v="Friday"/>
    <s v="Auto to Office"/>
    <n v="60"/>
    <x v="0"/>
    <x v="15"/>
  </r>
  <r>
    <x v="1"/>
    <x v="35"/>
    <s v="Friday"/>
    <s v="SmartQ"/>
    <n v="249"/>
    <x v="0"/>
    <x v="12"/>
  </r>
  <r>
    <x v="1"/>
    <x v="35"/>
    <s v="Friday"/>
    <s v="Rent + Maintainence"/>
    <n v="20201.169999999998"/>
    <x v="0"/>
    <x v="1"/>
  </r>
  <r>
    <x v="1"/>
    <x v="35"/>
    <s v="Friday"/>
    <s v="SmartQ"/>
    <n v="156"/>
    <x v="0"/>
    <x v="12"/>
  </r>
  <r>
    <x v="1"/>
    <x v="36"/>
    <s v="Saturday"/>
    <s v="Jio Recharge"/>
    <n v="200.9"/>
    <x v="0"/>
    <x v="14"/>
  </r>
  <r>
    <x v="1"/>
    <x v="36"/>
    <s v="Saturday"/>
    <s v="Spotify Subscription"/>
    <n v="119"/>
    <x v="1"/>
    <x v="8"/>
  </r>
  <r>
    <x v="1"/>
    <x v="36"/>
    <s v="Saturday"/>
    <s v="Youtube Premium Subscription"/>
    <n v="129"/>
    <x v="1"/>
    <x v="8"/>
  </r>
  <r>
    <x v="1"/>
    <x v="37"/>
    <s v="Sunday"/>
    <s v="Swiggy"/>
    <n v="189"/>
    <x v="1"/>
    <x v="5"/>
  </r>
  <r>
    <x v="1"/>
    <x v="37"/>
    <s v="Sunday"/>
    <s v="Angel One (trying out stocks)"/>
    <n v="5000"/>
    <x v="2"/>
    <x v="16"/>
  </r>
  <r>
    <x v="1"/>
    <x v="37"/>
    <s v="Sunday"/>
    <s v="Auto to Ankana's House"/>
    <n v="111"/>
    <x v="1"/>
    <x v="4"/>
  </r>
  <r>
    <x v="1"/>
    <x v="38"/>
    <s v="Monday"/>
    <s v="Auto to Office"/>
    <n v="53"/>
    <x v="0"/>
    <x v="15"/>
  </r>
  <r>
    <x v="1"/>
    <x v="38"/>
    <s v="Monday"/>
    <s v="SmartQ"/>
    <n v="150"/>
    <x v="0"/>
    <x v="12"/>
  </r>
  <r>
    <x v="1"/>
    <x v="38"/>
    <s v="Monday"/>
    <s v="Sujay Birthday Cake"/>
    <n v="913"/>
    <x v="1"/>
    <x v="2"/>
  </r>
  <r>
    <x v="1"/>
    <x v="39"/>
    <s v="Tuesday"/>
    <s v="Swiggy"/>
    <n v="326"/>
    <x v="1"/>
    <x v="5"/>
  </r>
  <r>
    <x v="1"/>
    <x v="39"/>
    <s v="Tuesday"/>
    <s v="Auto To Decathlon"/>
    <n v="35"/>
    <x v="1"/>
    <x v="4"/>
  </r>
  <r>
    <x v="1"/>
    <x v="39"/>
    <s v="Tuesday"/>
    <s v="Decathlon (shoes+socks)"/>
    <n v="2596"/>
    <x v="1"/>
    <x v="3"/>
  </r>
  <r>
    <x v="1"/>
    <x v="39"/>
    <s v="Tuesday"/>
    <s v="To Theobroma"/>
    <n v="30"/>
    <x v="1"/>
    <x v="4"/>
  </r>
  <r>
    <x v="1"/>
    <x v="39"/>
    <s v="Tuesday"/>
    <s v="Cake #2 XD"/>
    <n v="738"/>
    <x v="1"/>
    <x v="2"/>
  </r>
  <r>
    <x v="1"/>
    <x v="39"/>
    <s v="Tuesday"/>
    <s v="Auto to home"/>
    <n v="87"/>
    <x v="1"/>
    <x v="4"/>
  </r>
  <r>
    <x v="1"/>
    <x v="39"/>
    <s v="Tuesday"/>
    <s v="Swiggy"/>
    <n v="254"/>
    <x v="1"/>
    <x v="5"/>
  </r>
  <r>
    <x v="1"/>
    <x v="40"/>
    <s v="Wednesday"/>
    <s v="Auto to Office"/>
    <n v="115"/>
    <x v="0"/>
    <x v="15"/>
  </r>
  <r>
    <x v="1"/>
    <x v="40"/>
    <s v="Wednesday"/>
    <s v="Nagarjuna Sagar Trip advance to Prasoon"/>
    <n v="1000"/>
    <x v="1"/>
    <x v="10"/>
  </r>
  <r>
    <x v="1"/>
    <x v="40"/>
    <s v="Wednesday"/>
    <s v="SmartQ"/>
    <n v="464"/>
    <x v="0"/>
    <x v="12"/>
  </r>
  <r>
    <x v="1"/>
    <x v="40"/>
    <s v="Wednesday"/>
    <s v="Auto to Home"/>
    <n v="84"/>
    <x v="0"/>
    <x v="15"/>
  </r>
  <r>
    <x v="1"/>
    <x v="41"/>
    <s v="Thursday"/>
    <s v="Auto to Office"/>
    <n v="105"/>
    <x v="0"/>
    <x v="15"/>
  </r>
  <r>
    <x v="1"/>
    <x v="41"/>
    <s v="Thursday"/>
    <s v="SmartQ"/>
    <n v="150"/>
    <x v="0"/>
    <x v="12"/>
  </r>
  <r>
    <x v="1"/>
    <x v="41"/>
    <s v="Thursday"/>
    <s v="Auto to Raidurga Station"/>
    <n v="40.5"/>
    <x v="1"/>
    <x v="4"/>
  </r>
  <r>
    <x v="1"/>
    <x v="41"/>
    <s v="Thursday"/>
    <s v="Metro"/>
    <n v="90"/>
    <x v="1"/>
    <x v="4"/>
  </r>
  <r>
    <x v="1"/>
    <x v="41"/>
    <s v="Thursday"/>
    <s v="Cab to Poojtha's PG"/>
    <n v="30"/>
    <x v="1"/>
    <x v="4"/>
  </r>
  <r>
    <x v="1"/>
    <x v="41"/>
    <s v="Thursday"/>
    <s v="Auto to home"/>
    <n v="88"/>
    <x v="1"/>
    <x v="4"/>
  </r>
  <r>
    <x v="1"/>
    <x v="42"/>
    <s v="Friday"/>
    <s v="Auto to Office"/>
    <n v="57"/>
    <x v="0"/>
    <x v="15"/>
  </r>
  <r>
    <x v="1"/>
    <x v="42"/>
    <s v="Friday"/>
    <s v="SmartQ"/>
    <n v="300"/>
    <x v="0"/>
    <x v="12"/>
  </r>
  <r>
    <x v="1"/>
    <x v="42"/>
    <s v="Friday"/>
    <s v="Zepto"/>
    <n v="550"/>
    <x v="1"/>
    <x v="9"/>
  </r>
  <r>
    <x v="1"/>
    <x v="42"/>
    <s v="Friday"/>
    <s v="Dropout Membership"/>
    <n v="159"/>
    <x v="1"/>
    <x v="8"/>
  </r>
  <r>
    <x v="1"/>
    <x v="43"/>
    <s v="Sunday"/>
    <s v="Movie"/>
    <n v="230"/>
    <x v="1"/>
    <x v="10"/>
  </r>
  <r>
    <x v="1"/>
    <x v="43"/>
    <s v="Sunday"/>
    <s v="Trip Cost (splitwise)"/>
    <n v="1456"/>
    <x v="1"/>
    <x v="10"/>
  </r>
  <r>
    <x v="1"/>
    <x v="43"/>
    <s v="Sunday"/>
    <s v="Splitwise"/>
    <n v="49"/>
    <x v="1"/>
    <x v="9"/>
  </r>
  <r>
    <x v="1"/>
    <x v="43"/>
    <s v="Sunday"/>
    <s v="Groceries"/>
    <n v="139.66666666666666"/>
    <x v="0"/>
    <x v="6"/>
  </r>
  <r>
    <x v="1"/>
    <x v="43"/>
    <s v="Sunday"/>
    <s v="Bowling Cost"/>
    <n v="316"/>
    <x v="1"/>
    <x v="10"/>
  </r>
  <r>
    <x v="1"/>
    <x v="43"/>
    <s v="Sunday"/>
    <s v="Dinner"/>
    <n v="338"/>
    <x v="1"/>
    <x v="5"/>
  </r>
  <r>
    <x v="1"/>
    <x v="43"/>
    <s v="Sunday"/>
    <s v="Auto to home"/>
    <n v="81"/>
    <x v="1"/>
    <x v="4"/>
  </r>
  <r>
    <x v="1"/>
    <x v="44"/>
    <s v="Tuesday"/>
    <s v="Diwali Flights"/>
    <n v="17161"/>
    <x v="0"/>
    <x v="0"/>
  </r>
  <r>
    <x v="1"/>
    <x v="44"/>
    <s v="Tuesday"/>
    <s v="Swiggy"/>
    <n v="955"/>
    <x v="1"/>
    <x v="5"/>
  </r>
  <r>
    <x v="1"/>
    <x v="45"/>
    <s v="Wednesday"/>
    <s v="Auto to office"/>
    <n v="102"/>
    <x v="0"/>
    <x v="15"/>
  </r>
  <r>
    <x v="1"/>
    <x v="45"/>
    <s v="Wednesday"/>
    <s v="SmartQ"/>
    <n v="329"/>
    <x v="0"/>
    <x v="12"/>
  </r>
  <r>
    <x v="1"/>
    <x v="45"/>
    <s v="Wednesday"/>
    <s v="Coffee"/>
    <n v="95"/>
    <x v="0"/>
    <x v="12"/>
  </r>
  <r>
    <x v="1"/>
    <x v="46"/>
    <s v="Thursday"/>
    <s v="Auto to Office"/>
    <n v="95"/>
    <x v="0"/>
    <x v="15"/>
  </r>
  <r>
    <x v="1"/>
    <x v="46"/>
    <s v="Thursday"/>
    <s v="SmartQ"/>
    <n v="389"/>
    <x v="0"/>
    <x v="12"/>
  </r>
  <r>
    <x v="1"/>
    <x v="46"/>
    <s v="Thursday"/>
    <s v="Auto to home"/>
    <n v="63"/>
    <x v="0"/>
    <x v="15"/>
  </r>
  <r>
    <x v="1"/>
    <x v="46"/>
    <s v="Thursday"/>
    <s v="Zepto"/>
    <n v="420.16"/>
    <x v="0"/>
    <x v="6"/>
  </r>
  <r>
    <x v="1"/>
    <x v="47"/>
    <s v="Friday"/>
    <s v="Auto to office"/>
    <n v="89"/>
    <x v="0"/>
    <x v="15"/>
  </r>
  <r>
    <x v="1"/>
    <x v="47"/>
    <s v="Friday"/>
    <s v="Auto to home"/>
    <n v="300"/>
    <x v="0"/>
    <x v="15"/>
  </r>
  <r>
    <x v="1"/>
    <x v="48"/>
    <s v="Saturday"/>
    <s v="Zepto"/>
    <n v="585.04999999999995"/>
    <x v="0"/>
    <x v="6"/>
  </r>
  <r>
    <x v="1"/>
    <x v="48"/>
    <s v="Saturday"/>
    <s v="Netflix "/>
    <n v="199"/>
    <x v="1"/>
    <x v="8"/>
  </r>
  <r>
    <x v="1"/>
    <x v="49"/>
    <s v="Sunday"/>
    <s v="Headphones"/>
    <n v="1212"/>
    <x v="1"/>
    <x v="9"/>
  </r>
  <r>
    <x v="1"/>
    <x v="49"/>
    <s v="Sunday"/>
    <s v="Bedsheet"/>
    <n v="601"/>
    <x v="1"/>
    <x v="17"/>
  </r>
  <r>
    <x v="1"/>
    <x v="49"/>
    <s v="Sunday"/>
    <s v="Wifi UPS"/>
    <n v="466.33333333333331"/>
    <x v="1"/>
    <x v="17"/>
  </r>
  <r>
    <x v="1"/>
    <x v="49"/>
    <s v="Sunday"/>
    <s v="Swiggy"/>
    <n v="463"/>
    <x v="1"/>
    <x v="5"/>
  </r>
  <r>
    <x v="1"/>
    <x v="50"/>
    <s v="Monday"/>
    <s v="Sanjeev Gift"/>
    <n v="5074"/>
    <x v="1"/>
    <x v="2"/>
  </r>
  <r>
    <x v="1"/>
    <x v="50"/>
    <s v="Monday"/>
    <s v="Zepto"/>
    <n v="343"/>
    <x v="0"/>
    <x v="6"/>
  </r>
  <r>
    <x v="1"/>
    <x v="51"/>
    <s v="Tuesday"/>
    <s v="Auto to office"/>
    <n v="110"/>
    <x v="0"/>
    <x v="15"/>
  </r>
  <r>
    <x v="1"/>
    <x v="51"/>
    <s v="Tuesday"/>
    <s v="SmartQ"/>
    <n v="394"/>
    <x v="0"/>
    <x v="12"/>
  </r>
  <r>
    <x v="1"/>
    <x v="51"/>
    <s v="Tuesday"/>
    <s v="Auto to home"/>
    <n v="67"/>
    <x v="0"/>
    <x v="15"/>
  </r>
  <r>
    <x v="1"/>
    <x v="52"/>
    <s v="Wednesday"/>
    <s v="Auto to office"/>
    <n v="107"/>
    <x v="0"/>
    <x v="15"/>
  </r>
  <r>
    <x v="1"/>
    <x v="52"/>
    <s v="Wednesday"/>
    <s v="SmartQ"/>
    <n v="453"/>
    <x v="0"/>
    <x v="12"/>
  </r>
  <r>
    <x v="1"/>
    <x v="52"/>
    <s v="Wednesday"/>
    <s v="Auto to home"/>
    <n v="64"/>
    <x v="0"/>
    <x v="15"/>
  </r>
  <r>
    <x v="1"/>
    <x v="53"/>
    <s v="Thursday"/>
    <s v="Auto to office"/>
    <n v="110"/>
    <x v="0"/>
    <x v="15"/>
  </r>
  <r>
    <x v="1"/>
    <x v="53"/>
    <s v="Thursday"/>
    <s v="SmartQ"/>
    <n v="125"/>
    <x v="0"/>
    <x v="12"/>
  </r>
  <r>
    <x v="1"/>
    <x v="53"/>
    <s v="Thursday"/>
    <s v="Auto to inorbit"/>
    <n v="26"/>
    <x v="1"/>
    <x v="4"/>
  </r>
  <r>
    <x v="1"/>
    <x v="53"/>
    <s v="Thursday"/>
    <s v="Punjab Grill"/>
    <n v="174"/>
    <x v="1"/>
    <x v="5"/>
  </r>
  <r>
    <x v="1"/>
    <x v="53"/>
    <s v="Thursday"/>
    <s v="Bowling + Deal or no deal (SMAASH Inorbit)"/>
    <n v="337.5"/>
    <x v="1"/>
    <x v="10"/>
  </r>
  <r>
    <x v="1"/>
    <x v="53"/>
    <s v="Thursday"/>
    <s v="Piano tiles (SMAASH Inorbit)"/>
    <n v="150"/>
    <x v="1"/>
    <x v="10"/>
  </r>
  <r>
    <x v="1"/>
    <x v="53"/>
    <s v="Thursday"/>
    <s v="Wow chicken"/>
    <n v="228"/>
    <x v="1"/>
    <x v="5"/>
  </r>
  <r>
    <x v="1"/>
    <x v="53"/>
    <s v="Thursday"/>
    <s v="Auto to home"/>
    <n v="47"/>
    <x v="1"/>
    <x v="4"/>
  </r>
  <r>
    <x v="1"/>
    <x v="54"/>
    <s v="Friday"/>
    <s v="Auto to office"/>
    <n v="83"/>
    <x v="0"/>
    <x v="15"/>
  </r>
  <r>
    <x v="1"/>
    <x v="54"/>
    <s v="Friday"/>
    <s v="SmartQ"/>
    <n v="262.3"/>
    <x v="0"/>
    <x v="12"/>
  </r>
  <r>
    <x v="1"/>
    <x v="54"/>
    <s v="Friday"/>
    <s v="Auto to home"/>
    <n v="50"/>
    <x v="0"/>
    <x v="15"/>
  </r>
  <r>
    <x v="1"/>
    <x v="55"/>
    <s v="Saturday"/>
    <s v="Swiggy"/>
    <n v="517"/>
    <x v="1"/>
    <x v="5"/>
  </r>
  <r>
    <x v="1"/>
    <x v="55"/>
    <s v="Saturday"/>
    <s v="Water"/>
    <n v="30"/>
    <x v="0"/>
    <x v="6"/>
  </r>
  <r>
    <x v="1"/>
    <x v="55"/>
    <s v="Saturday"/>
    <s v="Zepto"/>
    <n v="281"/>
    <x v="1"/>
    <x v="9"/>
  </r>
  <r>
    <x v="1"/>
    <x v="56"/>
    <s v="Sunday"/>
    <s v="Dinner"/>
    <n v="234"/>
    <x v="1"/>
    <x v="5"/>
  </r>
  <r>
    <x v="1"/>
    <x v="57"/>
    <s v="Monday"/>
    <s v="Lunch"/>
    <n v="409"/>
    <x v="1"/>
    <x v="5"/>
  </r>
  <r>
    <x v="1"/>
    <x v="57"/>
    <s v="Monday"/>
    <s v="Zepto"/>
    <n v="494"/>
    <x v="0"/>
    <x v="6"/>
  </r>
  <r>
    <x v="1"/>
    <x v="57"/>
    <s v="Monday"/>
    <s v="Zepto payment didn't reflect on app, should get refund"/>
    <n v="494"/>
    <x v="1"/>
    <x v="9"/>
  </r>
  <r>
    <x v="2"/>
    <x v="58"/>
    <s v="Tuesday"/>
    <s v="Clothes"/>
    <n v="2248"/>
    <x v="1"/>
    <x v="3"/>
  </r>
  <r>
    <x v="2"/>
    <x v="58"/>
    <s v="Tuesday"/>
    <s v="SIP"/>
    <n v="15000"/>
    <x v="2"/>
    <x v="13"/>
  </r>
  <r>
    <x v="2"/>
    <x v="58"/>
    <s v="Tuesday"/>
    <s v="Rent + Maintainence"/>
    <n v="20666.666666666668"/>
    <x v="0"/>
    <x v="1"/>
  </r>
  <r>
    <x v="2"/>
    <x v="58"/>
    <s v="Tuesday"/>
    <s v="Airtel recharge"/>
    <n v="355.92"/>
    <x v="0"/>
    <x v="14"/>
  </r>
  <r>
    <x v="2"/>
    <x v="58"/>
    <s v="Tuesday"/>
    <s v="Lunch"/>
    <n v="438"/>
    <x v="1"/>
    <x v="5"/>
  </r>
  <r>
    <x v="2"/>
    <x v="58"/>
    <s v="Tuesday"/>
    <s v="Zepto"/>
    <n v="264.33333333333331"/>
    <x v="0"/>
    <x v="6"/>
  </r>
  <r>
    <x v="2"/>
    <x v="59"/>
    <s v="Wednesday"/>
    <s v="Zepto"/>
    <n v="304.16666666666663"/>
    <x v="0"/>
    <x v="6"/>
  </r>
  <r>
    <x v="2"/>
    <x v="59"/>
    <s v="Wednesday"/>
    <s v="Auto to Sarath City"/>
    <n v="36.33"/>
    <x v="1"/>
    <x v="4"/>
  </r>
  <r>
    <x v="2"/>
    <x v="59"/>
    <s v="Wednesday"/>
    <s v="Dinner"/>
    <n v="110"/>
    <x v="1"/>
    <x v="5"/>
  </r>
  <r>
    <x v="2"/>
    <x v="59"/>
    <s v="Wednesday"/>
    <s v="Haunted House"/>
    <n v="200"/>
    <x v="1"/>
    <x v="10"/>
  </r>
  <r>
    <x v="2"/>
    <x v="59"/>
    <s v="Wednesday"/>
    <s v="Bowling"/>
    <n v="311.25"/>
    <x v="1"/>
    <x v="10"/>
  </r>
  <r>
    <x v="2"/>
    <x v="59"/>
    <s v="Wednesday"/>
    <s v="Ice cream"/>
    <n v="104"/>
    <x v="1"/>
    <x v="5"/>
  </r>
  <r>
    <x v="2"/>
    <x v="59"/>
    <s v="Wednesday"/>
    <s v="Auto to home"/>
    <n v="45"/>
    <x v="1"/>
    <x v="4"/>
  </r>
  <r>
    <x v="2"/>
    <x v="60"/>
    <s v="Thursday"/>
    <s v="To cleaner"/>
    <n v="666.66666666666663"/>
    <x v="0"/>
    <x v="18"/>
  </r>
  <r>
    <x v="2"/>
    <x v="60"/>
    <s v="Thursday"/>
    <s v="Auto to Office"/>
    <n v="91"/>
    <x v="0"/>
    <x v="15"/>
  </r>
  <r>
    <x v="2"/>
    <x v="60"/>
    <s v="Thursday"/>
    <s v="SmartQ"/>
    <n v="35"/>
    <x v="0"/>
    <x v="12"/>
  </r>
  <r>
    <x v="2"/>
    <x v="60"/>
    <s v="Thursday"/>
    <s v="Auto to Absolute BBQ"/>
    <n v="59"/>
    <x v="1"/>
    <x v="4"/>
  </r>
  <r>
    <x v="2"/>
    <x v="60"/>
    <s v="Thursday"/>
    <s v="To home"/>
    <n v="32.5"/>
    <x v="1"/>
    <x v="4"/>
  </r>
  <r>
    <x v="2"/>
    <x v="61"/>
    <s v="Friday"/>
    <s v="Zepto"/>
    <n v="273.5"/>
    <x v="1"/>
    <x v="9"/>
  </r>
  <r>
    <x v="2"/>
    <x v="61"/>
    <s v="Friday"/>
    <s v="Swiggy"/>
    <n v="423"/>
    <x v="1"/>
    <x v="5"/>
  </r>
  <r>
    <x v="2"/>
    <x v="62"/>
    <s v="Saturday"/>
    <s v="Papa's new phone"/>
    <n v="17528"/>
    <x v="1"/>
    <x v="2"/>
  </r>
  <r>
    <x v="2"/>
    <x v="62"/>
    <s v="Saturday"/>
    <s v="Dandiya Night"/>
    <n v="750"/>
    <x v="1"/>
    <x v="10"/>
  </r>
  <r>
    <x v="2"/>
    <x v="62"/>
    <s v="Saturday"/>
    <s v="Auto to Artistry"/>
    <n v="53.333333333333336"/>
    <x v="1"/>
    <x v="4"/>
  </r>
  <r>
    <x v="2"/>
    <x v="62"/>
    <s v="Saturday"/>
    <s v="Food"/>
    <n v="400"/>
    <x v="1"/>
    <x v="5"/>
  </r>
  <r>
    <x v="2"/>
    <x v="62"/>
    <s v="Saturday"/>
    <s v="Auto to home"/>
    <n v="81"/>
    <x v="1"/>
    <x v="4"/>
  </r>
  <r>
    <x v="2"/>
    <x v="63"/>
    <s v="Sunday"/>
    <s v="Lunch"/>
    <n v="375"/>
    <x v="1"/>
    <x v="5"/>
  </r>
  <r>
    <x v="2"/>
    <x v="63"/>
    <s v="Sunday"/>
    <s v="Scrub"/>
    <n v="92"/>
    <x v="1"/>
    <x v="17"/>
  </r>
  <r>
    <x v="2"/>
    <x v="63"/>
    <s v="Sunday"/>
    <s v="Snacks"/>
    <n v="197"/>
    <x v="1"/>
    <x v="5"/>
  </r>
  <r>
    <x v="2"/>
    <x v="64"/>
    <s v="Monday"/>
    <s v="Spotify Subscription"/>
    <n v="119"/>
    <x v="1"/>
    <x v="8"/>
  </r>
  <r>
    <x v="2"/>
    <x v="65"/>
    <s v="Tuesday"/>
    <s v="Zepto"/>
    <n v="940"/>
    <x v="0"/>
    <x v="6"/>
  </r>
  <r>
    <x v="2"/>
    <x v="65"/>
    <s v="Tuesday"/>
    <s v="Lunch"/>
    <n v="382"/>
    <x v="1"/>
    <x v="5"/>
  </r>
  <r>
    <x v="2"/>
    <x v="66"/>
    <s v="Wednesday"/>
    <s v="Auto to office"/>
    <n v="87"/>
    <x v="0"/>
    <x v="15"/>
  </r>
  <r>
    <x v="2"/>
    <x v="66"/>
    <s v="Wednesday"/>
    <s v="SmartQ"/>
    <n v="339"/>
    <x v="0"/>
    <x v="12"/>
  </r>
  <r>
    <x v="2"/>
    <x v="66"/>
    <s v="Wednesday"/>
    <s v="YT premium 1 yr"/>
    <n v="1490"/>
    <x v="1"/>
    <x v="8"/>
  </r>
  <r>
    <x v="2"/>
    <x v="66"/>
    <s v="Wednesday"/>
    <s v="Groceries"/>
    <n v="133"/>
    <x v="0"/>
    <x v="6"/>
  </r>
  <r>
    <x v="2"/>
    <x v="66"/>
    <s v="Wednesday"/>
    <s v="Pista house"/>
    <n v="489"/>
    <x v="1"/>
    <x v="5"/>
  </r>
  <r>
    <x v="2"/>
    <x v="66"/>
    <s v="Wednesday"/>
    <s v="Auto to home"/>
    <n v="39"/>
    <x v="1"/>
    <x v="4"/>
  </r>
  <r>
    <x v="2"/>
    <x v="67"/>
    <s v="Thursday"/>
    <s v="Zepto"/>
    <n v="297.02"/>
    <x v="1"/>
    <x v="5"/>
  </r>
  <r>
    <x v="2"/>
    <x v="67"/>
    <s v="Thursday"/>
    <s v="Auto to office"/>
    <n v="81"/>
    <x v="0"/>
    <x v="15"/>
  </r>
  <r>
    <x v="2"/>
    <x v="67"/>
    <s v="Thursday"/>
    <s v="Auto to home"/>
    <n v="60"/>
    <x v="0"/>
    <x v="15"/>
  </r>
  <r>
    <x v="2"/>
    <x v="67"/>
    <s v="Thursday"/>
    <s v="Dinner"/>
    <n v="458"/>
    <x v="1"/>
    <x v="5"/>
  </r>
  <r>
    <x v="2"/>
    <x v="68"/>
    <s v="Friday"/>
    <s v="Zepto"/>
    <n v="514.57000000000005"/>
    <x v="0"/>
    <x v="6"/>
  </r>
  <r>
    <x v="2"/>
    <x v="69"/>
    <s v="Saturday"/>
    <s v="Zepto"/>
    <n v="483.21"/>
    <x v="1"/>
    <x v="5"/>
  </r>
  <r>
    <x v="2"/>
    <x v="69"/>
    <s v="Saturday"/>
    <s v="JioCinema"/>
    <n v="29"/>
    <x v="1"/>
    <x v="8"/>
  </r>
  <r>
    <x v="2"/>
    <x v="69"/>
    <s v="Saturday"/>
    <s v="Dinner"/>
    <n v="586"/>
    <x v="1"/>
    <x v="5"/>
  </r>
  <r>
    <x v="2"/>
    <x v="70"/>
    <s v="Sunday"/>
    <s v="Dinner"/>
    <n v="1185"/>
    <x v="1"/>
    <x v="5"/>
  </r>
  <r>
    <x v="2"/>
    <x v="70"/>
    <s v="Sunday"/>
    <s v="Geoguessr"/>
    <n v="708"/>
    <x v="1"/>
    <x v="9"/>
  </r>
  <r>
    <x v="2"/>
    <x v="71"/>
    <s v="Monday"/>
    <s v="Dinner"/>
    <n v="642"/>
    <x v="1"/>
    <x v="5"/>
  </r>
  <r>
    <x v="2"/>
    <x v="71"/>
    <s v="Monday"/>
    <s v="Groceries"/>
    <n v="276"/>
    <x v="1"/>
    <x v="5"/>
  </r>
  <r>
    <x v="2"/>
    <x v="72"/>
    <s v="Tuesday"/>
    <s v="Dinner"/>
    <n v="442.46"/>
    <x v="1"/>
    <x v="5"/>
  </r>
  <r>
    <x v="2"/>
    <x v="73"/>
    <s v="Wednesday"/>
    <s v="Auto to office"/>
    <n v="121"/>
    <x v="0"/>
    <x v="15"/>
  </r>
  <r>
    <x v="2"/>
    <x v="73"/>
    <s v="Wednesday"/>
    <s v="SmartQ"/>
    <n v="432"/>
    <x v="0"/>
    <x v="12"/>
  </r>
  <r>
    <x v="2"/>
    <x v="73"/>
    <s v="Wednesday"/>
    <s v="Auto to office"/>
    <n v="37"/>
    <x v="0"/>
    <x v="15"/>
  </r>
  <r>
    <x v="2"/>
    <x v="74"/>
    <s v="Thursday"/>
    <s v="Auto to office"/>
    <n v="61"/>
    <x v="0"/>
    <x v="15"/>
  </r>
  <r>
    <x v="2"/>
    <x v="74"/>
    <s v="Thursday"/>
    <s v="SmartQ"/>
    <n v="369"/>
    <x v="0"/>
    <x v="12"/>
  </r>
  <r>
    <x v="2"/>
    <x v="74"/>
    <s v="Thursday"/>
    <s v="Auto to office"/>
    <n v="34"/>
    <x v="0"/>
    <x v="15"/>
  </r>
  <r>
    <x v="2"/>
    <x v="74"/>
    <s v="Thursday"/>
    <s v="Zepto"/>
    <n v="234.88"/>
    <x v="1"/>
    <x v="5"/>
  </r>
  <r>
    <x v="2"/>
    <x v="75"/>
    <s v="Friday"/>
    <s v="Auto to office"/>
    <n v="121"/>
    <x v="0"/>
    <x v="15"/>
  </r>
  <r>
    <x v="2"/>
    <x v="75"/>
    <s v="Friday"/>
    <s v="SmartQ"/>
    <n v="432"/>
    <x v="0"/>
    <x v="12"/>
  </r>
  <r>
    <x v="2"/>
    <x v="75"/>
    <s v="Friday"/>
    <s v="Auto to office"/>
    <n v="37"/>
    <x v="0"/>
    <x v="15"/>
  </r>
  <r>
    <x v="2"/>
    <x v="76"/>
    <s v="Saturday"/>
    <s v="Auto to Naintara"/>
    <n v="40"/>
    <x v="1"/>
    <x v="4"/>
  </r>
  <r>
    <x v="2"/>
    <x v="76"/>
    <s v="Saturday"/>
    <s v="Paradise"/>
    <n v="611.5"/>
    <x v="1"/>
    <x v="5"/>
  </r>
  <r>
    <x v="2"/>
    <x v="76"/>
    <s v="Saturday"/>
    <s v="Auto to Paradise"/>
    <n v="20"/>
    <x v="1"/>
    <x v="4"/>
  </r>
  <r>
    <x v="2"/>
    <x v="76"/>
    <s v="Saturday"/>
    <s v="Shilparamam"/>
    <n v="60"/>
    <x v="1"/>
    <x v="10"/>
  </r>
  <r>
    <x v="2"/>
    <x v="76"/>
    <s v="Saturday"/>
    <s v="Bike to Thrivesome"/>
    <n v="60"/>
    <x v="1"/>
    <x v="4"/>
  </r>
  <r>
    <x v="2"/>
    <x v="76"/>
    <s v="Saturday"/>
    <s v="Thrivesome"/>
    <n v="109.66"/>
    <x v="1"/>
    <x v="5"/>
  </r>
  <r>
    <x v="2"/>
    <x v="76"/>
    <s v="Saturday"/>
    <s v="Auto to Pista House"/>
    <n v="36"/>
    <x v="1"/>
    <x v="4"/>
  </r>
  <r>
    <x v="2"/>
    <x v="76"/>
    <s v="Saturday"/>
    <s v="Pista House"/>
    <n v="661.33"/>
    <x v="1"/>
    <x v="5"/>
  </r>
  <r>
    <x v="2"/>
    <x v="76"/>
    <s v="Saturday"/>
    <s v="Auto to home"/>
    <n v="73"/>
    <x v="1"/>
    <x v="4"/>
  </r>
  <r>
    <x v="2"/>
    <x v="77"/>
    <s v="Sunday"/>
    <s v="Zepto"/>
    <n v="1060"/>
    <x v="0"/>
    <x v="6"/>
  </r>
  <r>
    <x v="2"/>
    <x v="77"/>
    <s v="Sunday"/>
    <s v="Cleaner Dusshera"/>
    <n v="166.67"/>
    <x v="0"/>
    <x v="18"/>
  </r>
  <r>
    <x v="2"/>
    <x v="77"/>
    <s v="Sunday"/>
    <s v="Auto to Restaurant"/>
    <n v="40"/>
    <x v="1"/>
    <x v="4"/>
  </r>
  <r>
    <x v="2"/>
    <x v="77"/>
    <s v="Sunday"/>
    <s v="Food"/>
    <n v="350"/>
    <x v="1"/>
    <x v="5"/>
  </r>
  <r>
    <x v="2"/>
    <x v="77"/>
    <s v="Sunday"/>
    <s v="Movie"/>
    <n v="250"/>
    <x v="1"/>
    <x v="10"/>
  </r>
  <r>
    <x v="2"/>
    <x v="77"/>
    <s v="Sunday"/>
    <s v="Bike Home"/>
    <n v="65"/>
    <x v="1"/>
    <x v="4"/>
  </r>
  <r>
    <x v="2"/>
    <x v="78"/>
    <s v="Monday"/>
    <s v="Zepto"/>
    <n v="672.42"/>
    <x v="1"/>
    <x v="5"/>
  </r>
  <r>
    <x v="2"/>
    <x v="79"/>
    <s v="Tuesday"/>
    <s v="Netflix"/>
    <n v="199"/>
    <x v="1"/>
    <x v="8"/>
  </r>
  <r>
    <x v="2"/>
    <x v="79"/>
    <s v="Tuesday"/>
    <s v="Zepto"/>
    <n v="538.75"/>
    <x v="1"/>
    <x v="5"/>
  </r>
  <r>
    <x v="2"/>
    <x v="79"/>
    <s v="Tuesday"/>
    <s v="Rebel mrktplc"/>
    <n v="332"/>
    <x v="1"/>
    <x v="5"/>
  </r>
  <r>
    <x v="2"/>
    <x v="79"/>
    <s v="Tuesday"/>
    <s v="Auto to Bhrammaraamba"/>
    <n v="75"/>
    <x v="1"/>
    <x v="4"/>
  </r>
  <r>
    <x v="2"/>
    <x v="79"/>
    <s v="Tuesday"/>
    <s v="Movie"/>
    <n v="212.86"/>
    <x v="1"/>
    <x v="10"/>
  </r>
  <r>
    <x v="2"/>
    <x v="79"/>
    <s v="Tuesday"/>
    <s v="Food"/>
    <n v="120"/>
    <x v="1"/>
    <x v="5"/>
  </r>
  <r>
    <x v="2"/>
    <x v="79"/>
    <s v="Tuesday"/>
    <s v="Auto to home"/>
    <n v="100"/>
    <x v="1"/>
    <x v="4"/>
  </r>
  <r>
    <x v="2"/>
    <x v="80"/>
    <s v="Wednesday"/>
    <s v="Auto to office"/>
    <n v="97"/>
    <x v="0"/>
    <x v="15"/>
  </r>
  <r>
    <x v="2"/>
    <x v="81"/>
    <s v="Thursday"/>
    <s v="Auto to office"/>
    <n v="87"/>
    <x v="0"/>
    <x v="15"/>
  </r>
  <r>
    <x v="2"/>
    <x v="81"/>
    <s v="Thursday"/>
    <s v="Food"/>
    <n v="120"/>
    <x v="0"/>
    <x v="12"/>
  </r>
  <r>
    <x v="2"/>
    <x v="81"/>
    <s v="Thursday"/>
    <s v="Dinner"/>
    <n v="682"/>
    <x v="1"/>
    <x v="5"/>
  </r>
  <r>
    <x v="2"/>
    <x v="81"/>
    <s v="Thursday"/>
    <s v="Auto to home"/>
    <n v="61"/>
    <x v="0"/>
    <x v="15"/>
  </r>
  <r>
    <x v="2"/>
    <x v="82"/>
    <s v="Friday"/>
    <s v="Auto to Office"/>
    <n v="73"/>
    <x v="0"/>
    <x v="15"/>
  </r>
  <r>
    <x v="2"/>
    <x v="82"/>
    <s v="Friday"/>
    <s v="Office lunch"/>
    <n v="190"/>
    <x v="0"/>
    <x v="12"/>
  </r>
  <r>
    <x v="2"/>
    <x v="82"/>
    <s v="Friday"/>
    <s v="Office Dinner"/>
    <n v="95"/>
    <x v="0"/>
    <x v="12"/>
  </r>
  <r>
    <x v="2"/>
    <x v="82"/>
    <s v="Friday"/>
    <s v="Auto to madhapur"/>
    <n v="25"/>
    <x v="1"/>
    <x v="4"/>
  </r>
  <r>
    <x v="2"/>
    <x v="82"/>
    <s v="Friday"/>
    <s v="Escape Time: Escape room"/>
    <n v="400"/>
    <x v="1"/>
    <x v="10"/>
  </r>
  <r>
    <x v="2"/>
    <x v="82"/>
    <s v="Friday"/>
    <s v="Dinner @ Café Madras Coffee"/>
    <n v="372"/>
    <x v="1"/>
    <x v="5"/>
  </r>
  <r>
    <x v="2"/>
    <x v="82"/>
    <s v="Friday"/>
    <s v="Cab home"/>
    <n v="30.75"/>
    <x v="1"/>
    <x v="4"/>
  </r>
  <r>
    <x v="2"/>
    <x v="83"/>
    <s v="Saturday"/>
    <s v="Backpack for Shlok"/>
    <n v="6993.5"/>
    <x v="1"/>
    <x v="2"/>
  </r>
  <r>
    <x v="2"/>
    <x v="83"/>
    <s v="Saturday"/>
    <s v="Backpack for me"/>
    <n v="5597.5"/>
    <x v="1"/>
    <x v="9"/>
  </r>
  <r>
    <x v="2"/>
    <x v="83"/>
    <s v="Saturday"/>
    <s v="Some food"/>
    <n v="294"/>
    <x v="1"/>
    <x v="5"/>
  </r>
  <r>
    <x v="2"/>
    <x v="83"/>
    <s v="Saturday"/>
    <s v="Zepto"/>
    <n v="380"/>
    <x v="0"/>
    <x v="6"/>
  </r>
  <r>
    <x v="2"/>
    <x v="83"/>
    <s v="Saturday"/>
    <s v="Rapido to LP's pg"/>
    <n v="58"/>
    <x v="1"/>
    <x v="4"/>
  </r>
  <r>
    <x v="2"/>
    <x v="83"/>
    <s v="Saturday"/>
    <s v="Saree for mom"/>
    <n v="8000"/>
    <x v="1"/>
    <x v="2"/>
  </r>
  <r>
    <x v="2"/>
    <x v="83"/>
    <s v="Saturday"/>
    <s v="Bhelpuri + Dinner @ Dosthagaallu Mandi "/>
    <n v="274"/>
    <x v="1"/>
    <x v="5"/>
  </r>
  <r>
    <x v="2"/>
    <x v="83"/>
    <s v="Saturday"/>
    <s v="Auto to home"/>
    <n v="48"/>
    <x v="1"/>
    <x v="4"/>
  </r>
  <r>
    <x v="2"/>
    <x v="83"/>
    <s v="Saturday"/>
    <s v="Airtell Bill"/>
    <n v="529.91999999999996"/>
    <x v="1"/>
    <x v="4"/>
  </r>
  <r>
    <x v="2"/>
    <x v="83"/>
    <s v="Saturday"/>
    <s v="Google Drive 100GB"/>
    <n v="699"/>
    <x v="0"/>
    <x v="11"/>
  </r>
  <r>
    <x v="2"/>
    <x v="84"/>
    <s v="Sunday"/>
    <s v="Lunch"/>
    <n v="595"/>
    <x v="1"/>
    <x v="5"/>
  </r>
  <r>
    <x v="2"/>
    <x v="84"/>
    <s v="Sunday"/>
    <s v="Party supplies xd"/>
    <n v="365.88"/>
    <x v="1"/>
    <x v="5"/>
  </r>
  <r>
    <x v="2"/>
    <x v="84"/>
    <s v="Sunday"/>
    <s v="Scrabble"/>
    <n v="300"/>
    <x v="1"/>
    <x v="9"/>
  </r>
  <r>
    <x v="2"/>
    <x v="85"/>
    <s v="Monday"/>
    <s v="Lunch"/>
    <n v="704"/>
    <x v="1"/>
    <x v="5"/>
  </r>
  <r>
    <x v="2"/>
    <x v="85"/>
    <s v="Monday"/>
    <s v="to office"/>
    <n v="59"/>
    <x v="0"/>
    <x v="15"/>
  </r>
  <r>
    <x v="2"/>
    <x v="85"/>
    <s v="Monday"/>
    <s v="Mosambi Juice"/>
    <n v="70"/>
    <x v="0"/>
    <x v="12"/>
  </r>
  <r>
    <x v="2"/>
    <x v="86"/>
    <s v="Tuesday"/>
    <s v="Karam Podi + Pulihora + Gongura pickle"/>
    <n v="353.69"/>
    <x v="1"/>
    <x v="2"/>
  </r>
  <r>
    <x v="2"/>
    <x v="86"/>
    <s v="Tuesday"/>
    <s v="Biriyani"/>
    <n v="231"/>
    <x v="1"/>
    <x v="2"/>
  </r>
  <r>
    <x v="2"/>
    <x v="86"/>
    <s v="Tuesday"/>
    <s v="Putharekulu"/>
    <n v="1400"/>
    <x v="1"/>
    <x v="2"/>
  </r>
  <r>
    <x v="2"/>
    <x v="86"/>
    <s v="Tuesday"/>
    <s v="Steam Giftcard"/>
    <n v="2000"/>
    <x v="1"/>
    <x v="9"/>
  </r>
  <r>
    <x v="2"/>
    <x v="86"/>
    <s v="Tuesday"/>
    <s v="Lunch"/>
    <n v="550"/>
    <x v="1"/>
    <x v="5"/>
  </r>
  <r>
    <x v="2"/>
    <x v="86"/>
    <s v="Tuesday"/>
    <s v="To airport"/>
    <n v="250"/>
    <x v="1"/>
    <x v="4"/>
  </r>
  <r>
    <x v="2"/>
    <x v="86"/>
    <s v="Tuesday"/>
    <s v="Jio Recharge"/>
    <n v="349"/>
    <x v="0"/>
    <x v="14"/>
  </r>
  <r>
    <x v="2"/>
    <x v="87"/>
    <s v="Wednesday"/>
    <s v="To Lulu Mall"/>
    <n v="145"/>
    <x v="1"/>
    <x v="4"/>
  </r>
  <r>
    <x v="2"/>
    <x v="87"/>
    <s v="Wednesday"/>
    <s v="Souled Store Hoodie for Shlok"/>
    <n v="1799"/>
    <x v="1"/>
    <x v="2"/>
  </r>
  <r>
    <x v="2"/>
    <x v="87"/>
    <s v="Wednesday"/>
    <s v="Souled Store Tshirt"/>
    <n v="1799"/>
    <x v="1"/>
    <x v="3"/>
  </r>
  <r>
    <x v="2"/>
    <x v="87"/>
    <s v="Wednesday"/>
    <s v="Seva Chikan Kurtas + Pyjama"/>
    <n v="3880"/>
    <x v="1"/>
    <x v="3"/>
  </r>
  <r>
    <x v="2"/>
    <x v="87"/>
    <s v="Wednesday"/>
    <s v="Zudio Sweater"/>
    <n v="799"/>
    <x v="1"/>
    <x v="3"/>
  </r>
  <r>
    <x v="2"/>
    <x v="87"/>
    <s v="Wednesday"/>
    <s v="Zudio other shit"/>
    <n v="462"/>
    <x v="1"/>
    <x v="9"/>
  </r>
  <r>
    <x v="2"/>
    <x v="87"/>
    <s v="Wednesday"/>
    <s v="Crossword hindi books"/>
    <n v="673"/>
    <x v="1"/>
    <x v="9"/>
  </r>
  <r>
    <x v="2"/>
    <x v="87"/>
    <s v="Wednesday"/>
    <s v="Food"/>
    <n v="880.97"/>
    <x v="1"/>
    <x v="5"/>
  </r>
  <r>
    <x v="2"/>
    <x v="87"/>
    <s v="Wednesday"/>
    <s v="Hamleys 1000 pieces puzzle"/>
    <n v="899"/>
    <x v="1"/>
    <x v="9"/>
  </r>
  <r>
    <x v="2"/>
    <x v="87"/>
    <s v="Wednesday"/>
    <s v="Market 99 chocolate"/>
    <n v="180"/>
    <x v="1"/>
    <x v="5"/>
  </r>
  <r>
    <x v="2"/>
    <x v="87"/>
    <s v="Wednesday"/>
    <s v="Levi's Jeans"/>
    <n v="3299"/>
    <x v="1"/>
    <x v="3"/>
  </r>
  <r>
    <x v="2"/>
    <x v="87"/>
    <s v="Wednesday"/>
    <s v="To Home"/>
    <n v="144"/>
    <x v="1"/>
    <x v="4"/>
  </r>
  <r>
    <x v="3"/>
    <x v="88"/>
    <s v="Friday"/>
    <s v="Myntra"/>
    <n v="1693"/>
    <x v="1"/>
    <x v="3"/>
  </r>
  <r>
    <x v="3"/>
    <x v="88"/>
    <s v="Friday"/>
    <s v="Souled Store"/>
    <n v="3391"/>
    <x v="1"/>
    <x v="3"/>
  </r>
  <r>
    <x v="3"/>
    <x v="88"/>
    <s v="Friday"/>
    <s v="BombayShavingCompany"/>
    <n v="999"/>
    <x v="1"/>
    <x v="17"/>
  </r>
  <r>
    <x v="3"/>
    <x v="88"/>
    <s v="Friday"/>
    <s v="Cinnabon @ Lulu"/>
    <n v="425"/>
    <x v="1"/>
    <x v="5"/>
  </r>
  <r>
    <x v="3"/>
    <x v="88"/>
    <s v="Friday"/>
    <s v="Hamleys mechanics sets"/>
    <n v="1098"/>
    <x v="1"/>
    <x v="2"/>
  </r>
  <r>
    <x v="3"/>
    <x v="88"/>
    <s v="Friday"/>
    <s v="Food @ wow chicken, Lulu"/>
    <n v="916"/>
    <x v="1"/>
    <x v="5"/>
  </r>
  <r>
    <x v="3"/>
    <x v="88"/>
    <s v="Friday"/>
    <s v="Kings Kulfi"/>
    <n v="500"/>
    <x v="1"/>
    <x v="5"/>
  </r>
  <r>
    <x v="3"/>
    <x v="88"/>
    <s v="Friday"/>
    <s v="Auto to home"/>
    <n v="147"/>
    <x v="1"/>
    <x v="4"/>
  </r>
  <r>
    <x v="3"/>
    <x v="89"/>
    <s v="Saturday"/>
    <s v="Blinkit: chicken vgera"/>
    <n v="388"/>
    <x v="0"/>
    <x v="6"/>
  </r>
  <r>
    <x v="3"/>
    <x v="89"/>
    <s v="Saturday"/>
    <s v="Rent + Maintainence"/>
    <n v="20666.666666666668"/>
    <x v="0"/>
    <x v="1"/>
  </r>
  <r>
    <x v="3"/>
    <x v="89"/>
    <s v="Saturday"/>
    <s v="Mithai for hyd"/>
    <n v="1991"/>
    <x v="1"/>
    <x v="2"/>
  </r>
  <r>
    <x v="3"/>
    <x v="89"/>
    <s v="Saturday"/>
    <s v="aur saman"/>
    <n v="358"/>
    <x v="0"/>
    <x v="6"/>
  </r>
  <r>
    <x v="3"/>
    <x v="89"/>
    <s v="Saturday"/>
    <s v="Bhai duj gift to harshu and didi"/>
    <n v="4000"/>
    <x v="1"/>
    <x v="2"/>
  </r>
  <r>
    <x v="3"/>
    <x v="89"/>
    <s v="Saturday"/>
    <s v="Shuttle bus till home"/>
    <n v="250"/>
    <x v="1"/>
    <x v="4"/>
  </r>
  <r>
    <x v="3"/>
    <x v="90"/>
    <s v="Sunday"/>
    <s v="Hangers"/>
    <n v="303"/>
    <x v="1"/>
    <x v="17"/>
  </r>
  <r>
    <x v="3"/>
    <x v="90"/>
    <s v="Sunday"/>
    <s v="Maggi"/>
    <n v="158"/>
    <x v="0"/>
    <x v="6"/>
  </r>
  <r>
    <x v="3"/>
    <x v="90"/>
    <s v="Sunday"/>
    <s v="Lunch"/>
    <n v="573"/>
    <x v="1"/>
    <x v="5"/>
  </r>
  <r>
    <x v="3"/>
    <x v="90"/>
    <s v="Sunday"/>
    <s v="Steam auto mech battler game"/>
    <n v="690"/>
    <x v="1"/>
    <x v="9"/>
  </r>
  <r>
    <x v="3"/>
    <x v="90"/>
    <s v="Sunday"/>
    <s v="Myntra"/>
    <n v="1537"/>
    <x v="1"/>
    <x v="3"/>
  </r>
  <r>
    <x v="3"/>
    <x v="91"/>
    <s v="Monday"/>
    <s v="SIP"/>
    <n v="15000"/>
    <x v="2"/>
    <x v="13"/>
  </r>
  <r>
    <x v="3"/>
    <x v="91"/>
    <s v="Monday"/>
    <s v="Lunch"/>
    <n v="823"/>
    <x v="1"/>
    <x v="5"/>
  </r>
  <r>
    <x v="3"/>
    <x v="91"/>
    <s v="Monday"/>
    <s v="Cleaner"/>
    <n v="666.66666666666663"/>
    <x v="0"/>
    <x v="18"/>
  </r>
  <r>
    <x v="3"/>
    <x v="91"/>
    <s v="Monday"/>
    <s v="To movie theatre"/>
    <n v="32"/>
    <x v="1"/>
    <x v="4"/>
  </r>
  <r>
    <x v="3"/>
    <x v="91"/>
    <s v="Monday"/>
    <s v="amaran movie"/>
    <n v="317.43"/>
    <x v="1"/>
    <x v="10"/>
  </r>
  <r>
    <x v="3"/>
    <x v="91"/>
    <s v="Monday"/>
    <s v="sandwich + popcorn"/>
    <n v="204"/>
    <x v="1"/>
    <x v="5"/>
  </r>
  <r>
    <x v="3"/>
    <x v="91"/>
    <s v="Monday"/>
    <s v="to home"/>
    <n v="65"/>
    <x v="1"/>
    <x v="4"/>
  </r>
  <r>
    <x v="3"/>
    <x v="92"/>
    <s v="Tuesday"/>
    <s v="Mutton curry ingredients"/>
    <n v="682"/>
    <x v="0"/>
    <x v="6"/>
  </r>
  <r>
    <x v="3"/>
    <x v="92"/>
    <s v="Tuesday"/>
    <s v="Lunch"/>
    <n v="278"/>
    <x v="1"/>
    <x v="5"/>
  </r>
  <r>
    <x v="3"/>
    <x v="92"/>
    <s v="Tuesday"/>
    <s v="Home stuff"/>
    <n v="144"/>
    <x v="0"/>
    <x v="6"/>
  </r>
  <r>
    <x v="3"/>
    <x v="92"/>
    <s v="Tuesday"/>
    <s v="Pani"/>
    <n v="30"/>
    <x v="0"/>
    <x v="6"/>
  </r>
  <r>
    <x v="3"/>
    <x v="92"/>
    <s v="Tuesday"/>
    <s v="zepto"/>
    <n v="325"/>
    <x v="1"/>
    <x v="5"/>
  </r>
  <r>
    <x v="3"/>
    <x v="93"/>
    <s v="Wednesday"/>
    <s v="Auto to office"/>
    <n v="85"/>
    <x v="0"/>
    <x v="15"/>
  </r>
  <r>
    <x v="3"/>
    <x v="94"/>
    <s v="Thursday"/>
    <s v="Auto to office"/>
    <n v="80"/>
    <x v="0"/>
    <x v="15"/>
  </r>
  <r>
    <x v="3"/>
    <x v="94"/>
    <s v="Thursday"/>
    <s v="SmartQ"/>
    <n v="174"/>
    <x v="0"/>
    <x v="12"/>
  </r>
  <r>
    <x v="3"/>
    <x v="94"/>
    <s v="Thursday"/>
    <s v="Pista House+kulfi"/>
    <n v="371"/>
    <x v="1"/>
    <x v="5"/>
  </r>
  <r>
    <x v="3"/>
    <x v="94"/>
    <s v="Thursday"/>
    <s v="Movie"/>
    <n v="330"/>
    <x v="1"/>
    <x v="10"/>
  </r>
  <r>
    <x v="3"/>
    <x v="94"/>
    <s v="Thursday"/>
    <s v="Auto to home"/>
    <n v="100"/>
    <x v="1"/>
    <x v="4"/>
  </r>
  <r>
    <x v="3"/>
    <x v="94"/>
    <s v="Thursday"/>
    <s v="Spotify"/>
    <n v="119"/>
    <x v="1"/>
    <x v="8"/>
  </r>
  <r>
    <x v="3"/>
    <x v="94"/>
    <s v="Thursday"/>
    <s v="Vizag Trip::Train Tickets"/>
    <n v="2200"/>
    <x v="0"/>
    <x v="0"/>
  </r>
  <r>
    <x v="3"/>
    <x v="94"/>
    <s v="Thursday"/>
    <s v="Vizag Trip::Araku resort payment"/>
    <n v="3200"/>
    <x v="1"/>
    <x v="10"/>
  </r>
  <r>
    <x v="3"/>
    <x v="95"/>
    <s v="Friday"/>
    <s v="Auto to office"/>
    <n v="58"/>
    <x v="0"/>
    <x v="15"/>
  </r>
  <r>
    <x v="3"/>
    <x v="95"/>
    <s v="Friday"/>
    <s v="SmartQ"/>
    <n v="416"/>
    <x v="0"/>
    <x v="12"/>
  </r>
  <r>
    <x v="3"/>
    <x v="95"/>
    <s v="Friday"/>
    <s v="Groceries at night"/>
    <n v="181.66666666666669"/>
    <x v="0"/>
    <x v="15"/>
  </r>
  <r>
    <x v="3"/>
    <x v="96"/>
    <s v="Saturday"/>
    <s v="Auto to badminton"/>
    <n v="60"/>
    <x v="1"/>
    <x v="4"/>
  </r>
  <r>
    <x v="3"/>
    <x v="96"/>
    <s v="Saturday"/>
    <s v="Badminton shuttles+court+etc"/>
    <n v="557"/>
    <x v="1"/>
    <x v="10"/>
  </r>
  <r>
    <x v="3"/>
    <x v="96"/>
    <s v="Saturday"/>
    <s v="Auto from badminton"/>
    <n v="60"/>
    <x v="1"/>
    <x v="4"/>
  </r>
  <r>
    <x v="3"/>
    <x v="96"/>
    <s v="Saturday"/>
    <s v="Brunch from Saharsh Udipi Grand"/>
    <n v="301"/>
    <x v="1"/>
    <x v="5"/>
  </r>
  <r>
    <x v="3"/>
    <x v="96"/>
    <s v="Saturday"/>
    <s v="Zepto"/>
    <n v="665"/>
    <x v="1"/>
    <x v="9"/>
  </r>
  <r>
    <x v="3"/>
    <x v="96"/>
    <s v="Saturday"/>
    <s v="Flight tickets (hyd to lko, del to hyd)"/>
    <n v="14176"/>
    <x v="0"/>
    <x v="0"/>
  </r>
  <r>
    <x v="3"/>
    <x v="97"/>
    <s v="Sunday"/>
    <s v="Clothes"/>
    <n v="1767"/>
    <x v="1"/>
    <x v="3"/>
  </r>
  <r>
    <x v="3"/>
    <x v="97"/>
    <s v="Sunday"/>
    <s v="Zepto"/>
    <n v="393"/>
    <x v="0"/>
    <x v="6"/>
  </r>
  <r>
    <x v="3"/>
    <x v="97"/>
    <s v="Sunday"/>
    <s v="Swiggy"/>
    <n v="183.5"/>
    <x v="1"/>
    <x v="5"/>
  </r>
  <r>
    <x v="3"/>
    <x v="98"/>
    <s v="Monday"/>
    <s v="Amazon"/>
    <n v="668"/>
    <x v="1"/>
    <x v="17"/>
  </r>
  <r>
    <x v="3"/>
    <x v="98"/>
    <s v="Monday"/>
    <s v="Zepto"/>
    <n v="600"/>
    <x v="0"/>
    <x v="6"/>
  </r>
  <r>
    <x v="3"/>
    <x v="98"/>
    <s v="Monday"/>
    <s v="Shaving/soap vgera"/>
    <n v="875"/>
    <x v="1"/>
    <x v="17"/>
  </r>
  <r>
    <x v="3"/>
    <x v="99"/>
    <s v="Tuesday"/>
    <s v="Food"/>
    <n v="620"/>
    <x v="1"/>
    <x v="5"/>
  </r>
  <r>
    <x v="3"/>
    <x v="99"/>
    <s v="Tuesday"/>
    <s v="House stuff"/>
    <n v="1000"/>
    <x v="1"/>
    <x v="17"/>
  </r>
  <r>
    <x v="3"/>
    <x v="100"/>
    <s v="Wednesday"/>
    <s v="Auto to office"/>
    <n v="90"/>
    <x v="0"/>
    <x v="15"/>
  </r>
  <r>
    <x v="3"/>
    <x v="100"/>
    <s v="Wednesday"/>
    <s v="SmartQ"/>
    <n v="646"/>
    <x v="0"/>
    <x v="12"/>
  </r>
  <r>
    <x v="3"/>
    <x v="100"/>
    <s v="Wednesday"/>
    <s v="Auto to home"/>
    <n v="73"/>
    <x v="0"/>
    <x v="15"/>
  </r>
  <r>
    <x v="3"/>
    <x v="100"/>
    <s v="Wednesday"/>
    <s v="Jio Cinema"/>
    <n v="29"/>
    <x v="1"/>
    <x v="8"/>
  </r>
  <r>
    <x v="3"/>
    <x v="101"/>
    <s v="Thursday"/>
    <s v="Auto to office"/>
    <n v="84"/>
    <x v="0"/>
    <x v="15"/>
  </r>
  <r>
    <x v="3"/>
    <x v="101"/>
    <s v="Thursday"/>
    <s v="SmartQ"/>
    <n v="162"/>
    <x v="0"/>
    <x v="12"/>
  </r>
  <r>
    <x v="3"/>
    <x v="101"/>
    <s v="Thursday"/>
    <s v="Auto to home"/>
    <n v="48"/>
    <x v="0"/>
    <x v="15"/>
  </r>
  <r>
    <x v="3"/>
    <x v="101"/>
    <s v="Thursday"/>
    <s v="Zepto"/>
    <n v="850"/>
    <x v="1"/>
    <x v="9"/>
  </r>
  <r>
    <x v="3"/>
    <x v="102"/>
    <s v="Friday"/>
    <s v="Auto to office"/>
    <n v="74"/>
    <x v="0"/>
    <x v="15"/>
  </r>
  <r>
    <x v="3"/>
    <x v="102"/>
    <s v="Friday"/>
    <s v="SmartQ"/>
    <n v="174"/>
    <x v="0"/>
    <x v="12"/>
  </r>
  <r>
    <x v="3"/>
    <x v="102"/>
    <s v="Friday"/>
    <s v="Auto to home"/>
    <n v="70"/>
    <x v="0"/>
    <x v="15"/>
  </r>
  <r>
    <x v="3"/>
    <x v="102"/>
    <s v="Friday"/>
    <s v="Zepto"/>
    <n v="495"/>
    <x v="1"/>
    <x v="5"/>
  </r>
  <r>
    <x v="3"/>
    <x v="103"/>
    <s v="Saturday"/>
    <s v="Auto to badminton court"/>
    <n v="67"/>
    <x v="1"/>
    <x v="4"/>
  </r>
  <r>
    <x v="3"/>
    <x v="103"/>
    <s v="Saturday"/>
    <s v="Badminton (racket+shoes)"/>
    <n v="195"/>
    <x v="1"/>
    <x v="10"/>
  </r>
  <r>
    <x v="3"/>
    <x v="103"/>
    <s v="Saturday"/>
    <s v="Fruits (bought on Friday)"/>
    <n v="247"/>
    <x v="0"/>
    <x v="6"/>
  </r>
  <r>
    <x v="3"/>
    <x v="103"/>
    <s v="Saturday"/>
    <s v="Auto from badminton court"/>
    <n v="88"/>
    <x v="1"/>
    <x v="4"/>
  </r>
  <r>
    <x v="3"/>
    <x v="103"/>
    <s v="Saturday"/>
    <s v="Auto to panchakattu dosa"/>
    <n v="77.5"/>
    <x v="1"/>
    <x v="4"/>
  </r>
  <r>
    <x v="3"/>
    <x v="103"/>
    <s v="Saturday"/>
    <s v="Auto from panchakattu dosa"/>
    <n v="66"/>
    <x v="1"/>
    <x v="4"/>
  </r>
  <r>
    <x v="3"/>
    <x v="104"/>
    <s v="Sunday"/>
    <s v="Bumble premium :("/>
    <n v="169"/>
    <x v="1"/>
    <x v="9"/>
  </r>
  <r>
    <x v="3"/>
    <x v="104"/>
    <s v="Sunday"/>
    <s v="Zepto"/>
    <n v="468"/>
    <x v="0"/>
    <x v="6"/>
  </r>
  <r>
    <x v="3"/>
    <x v="105"/>
    <s v="Monday"/>
    <s v="Swiggy"/>
    <n v="539"/>
    <x v="1"/>
    <x v="5"/>
  </r>
  <r>
    <x v="3"/>
    <x v="105"/>
    <s v="Monday"/>
    <s v="Auto to office"/>
    <n v="75"/>
    <x v="0"/>
    <x v="15"/>
  </r>
  <r>
    <x v="3"/>
    <x v="105"/>
    <s v="Monday"/>
    <s v="SmartQ"/>
    <n v="96"/>
    <x v="0"/>
    <x v="12"/>
  </r>
  <r>
    <x v="3"/>
    <x v="105"/>
    <s v="Monday"/>
    <s v="Auto to home"/>
    <n v="66"/>
    <x v="0"/>
    <x v="15"/>
  </r>
  <r>
    <x v="3"/>
    <x v="105"/>
    <s v="Monday"/>
    <s v="Minecraft"/>
    <n v="1999"/>
    <x v="1"/>
    <x v="9"/>
  </r>
  <r>
    <x v="3"/>
    <x v="105"/>
    <s v="Monday"/>
    <s v="dosa"/>
    <n v="85"/>
    <x v="1"/>
    <x v="5"/>
  </r>
  <r>
    <x v="3"/>
    <x v="105"/>
    <s v="Monday"/>
    <s v="badminton"/>
    <n v="245"/>
    <x v="1"/>
    <x v="10"/>
  </r>
  <r>
    <x v="3"/>
    <x v="105"/>
    <s v="Monday"/>
    <s v="dosa"/>
    <n v="125"/>
    <x v="1"/>
    <x v="5"/>
  </r>
  <r>
    <x v="3"/>
    <x v="106"/>
    <s v="Tuesday"/>
    <s v="Swiggy"/>
    <n v="871"/>
    <x v="1"/>
    <x v="5"/>
  </r>
  <r>
    <x v="3"/>
    <x v="106"/>
    <s v="Tuesday"/>
    <s v="Zepto"/>
    <n v="412.13"/>
    <x v="1"/>
    <x v="5"/>
  </r>
  <r>
    <x v="3"/>
    <x v="107"/>
    <s v="Wednesday"/>
    <s v="Auto to office"/>
    <n v="78"/>
    <x v="0"/>
    <x v="15"/>
  </r>
  <r>
    <x v="3"/>
    <x v="107"/>
    <s v="Wednesday"/>
    <s v="SmartQ"/>
    <n v="125"/>
    <x v="0"/>
    <x v="12"/>
  </r>
  <r>
    <x v="3"/>
    <x v="107"/>
    <s v="Wednesday"/>
    <s v="Food"/>
    <n v="508"/>
    <x v="1"/>
    <x v="5"/>
  </r>
  <r>
    <x v="3"/>
    <x v="107"/>
    <s v="Wednesday"/>
    <s v="Auto to home"/>
    <n v="45"/>
    <x v="0"/>
    <x v="15"/>
  </r>
  <r>
    <x v="3"/>
    <x v="108"/>
    <s v="Thursday"/>
    <s v="Auto to Office"/>
    <n v="80"/>
    <x v="0"/>
    <x v="15"/>
  </r>
  <r>
    <x v="3"/>
    <x v="108"/>
    <s v="Thursday"/>
    <s v="SmartQ"/>
    <n v="142"/>
    <x v="0"/>
    <x v="12"/>
  </r>
  <r>
    <x v="3"/>
    <x v="109"/>
    <s v="Friday"/>
    <s v="Netflix"/>
    <n v="199"/>
    <x v="1"/>
    <x v="8"/>
  </r>
  <r>
    <x v="3"/>
    <x v="109"/>
    <s v="Friday"/>
    <s v="Auto"/>
    <n v="74"/>
    <x v="0"/>
    <x v="15"/>
  </r>
  <r>
    <x v="3"/>
    <x v="109"/>
    <s v="Friday"/>
    <s v="Dinner"/>
    <n v="264"/>
    <x v="1"/>
    <x v="5"/>
  </r>
  <r>
    <x v="3"/>
    <x v="109"/>
    <s v="Friday"/>
    <s v="Auto to home"/>
    <n v="62"/>
    <x v="0"/>
    <x v="15"/>
  </r>
  <r>
    <x v="3"/>
    <x v="110"/>
    <s v="Saturday"/>
    <s v="Auto to Badminton"/>
    <n v="117"/>
    <x v="1"/>
    <x v="4"/>
  </r>
  <r>
    <x v="3"/>
    <x v="110"/>
    <s v="Saturday"/>
    <s v="Badminton"/>
    <n v="290"/>
    <x v="1"/>
    <x v="10"/>
  </r>
  <r>
    <x v="3"/>
    <x v="110"/>
    <s v="Saturday"/>
    <s v="Auto to home"/>
    <n v="100"/>
    <x v="1"/>
    <x v="4"/>
  </r>
  <r>
    <x v="3"/>
    <x v="110"/>
    <s v="Saturday"/>
    <s v="Auto to kphb"/>
    <n v="50"/>
    <x v="1"/>
    <x v="4"/>
  </r>
  <r>
    <x v="3"/>
    <x v="110"/>
    <s v="Saturday"/>
    <s v="Food"/>
    <n v="41.666666666666664"/>
    <x v="1"/>
    <x v="5"/>
  </r>
  <r>
    <x v="3"/>
    <x v="110"/>
    <s v="Saturday"/>
    <s v="Suit"/>
    <n v="7000"/>
    <x v="1"/>
    <x v="3"/>
  </r>
  <r>
    <x v="3"/>
    <x v="110"/>
    <s v="Saturday"/>
    <s v="Auto to home"/>
    <n v="50.666666666666664"/>
    <x v="1"/>
    <x v="4"/>
  </r>
  <r>
    <x v="3"/>
    <x v="111"/>
    <s v="Sunday"/>
    <s v="Zepto"/>
    <n v="1380"/>
    <x v="1"/>
    <x v="9"/>
  </r>
  <r>
    <x v="3"/>
    <x v="111"/>
    <s v="Sunday"/>
    <s v="KPHB snacks (on 23rd)"/>
    <n v="108"/>
    <x v="1"/>
    <x v="5"/>
  </r>
  <r>
    <x v="3"/>
    <x v="111"/>
    <s v="Sunday"/>
    <s v="Haircut"/>
    <n v="150"/>
    <x v="0"/>
    <x v="11"/>
  </r>
  <r>
    <x v="3"/>
    <x v="112"/>
    <s v="Monday"/>
    <s v="Airtel Bill"/>
    <n v="530"/>
    <x v="0"/>
    <x v="14"/>
  </r>
  <r>
    <x v="3"/>
    <x v="112"/>
    <s v="Monday"/>
    <s v="Auto to office "/>
    <n v="77"/>
    <x v="0"/>
    <x v="15"/>
  </r>
  <r>
    <x v="3"/>
    <x v="113"/>
    <s v="Tuesday"/>
    <s v="Dinner"/>
    <n v="232"/>
    <x v="1"/>
    <x v="5"/>
  </r>
  <r>
    <x v="3"/>
    <x v="114"/>
    <s v="Wednesday"/>
    <s v="Auto to office"/>
    <n v="80"/>
    <x v="0"/>
    <x v="15"/>
  </r>
  <r>
    <x v="3"/>
    <x v="114"/>
    <s v="Wednesday"/>
    <s v="SmartQ"/>
    <n v="204"/>
    <x v="0"/>
    <x v="12"/>
  </r>
  <r>
    <x v="3"/>
    <x v="114"/>
    <s v="Wednesday"/>
    <s v="Rapido to 45th avenue"/>
    <n v="48"/>
    <x v="1"/>
    <x v="4"/>
  </r>
  <r>
    <x v="3"/>
    <x v="114"/>
    <s v="Wednesday"/>
    <s v="Cab home"/>
    <n v="102"/>
    <x v="1"/>
    <x v="4"/>
  </r>
  <r>
    <x v="3"/>
    <x v="115"/>
    <s v="Thursday"/>
    <s v="Auto to Office"/>
    <n v="72"/>
    <x v="0"/>
    <x v="15"/>
  </r>
  <r>
    <x v="3"/>
    <x v="115"/>
    <s v="Thursday"/>
    <s v="Auto to home"/>
    <n v="46"/>
    <x v="0"/>
    <x v="15"/>
  </r>
  <r>
    <x v="3"/>
    <x v="116"/>
    <s v="Friday"/>
    <s v="Puri + aloo + mutton keema"/>
    <n v="502"/>
    <x v="1"/>
    <x v="5"/>
  </r>
  <r>
    <x v="3"/>
    <x v="117"/>
    <s v="Saturday"/>
    <s v="Zepto"/>
    <n v="551"/>
    <x v="1"/>
    <x v="2"/>
  </r>
  <r>
    <x v="3"/>
    <x v="117"/>
    <s v="Saturday"/>
    <s v="Putharekulu"/>
    <n v="250"/>
    <x v="1"/>
    <x v="2"/>
  </r>
  <r>
    <x v="3"/>
    <x v="117"/>
    <s v="Saturday"/>
    <s v="To airport"/>
    <n v="250"/>
    <x v="1"/>
    <x v="4"/>
  </r>
  <r>
    <x v="3"/>
    <x v="117"/>
    <s v="Saturday"/>
    <s v="yaad nhi"/>
    <n v="620"/>
    <x v="1"/>
    <x v="9"/>
  </r>
  <r>
    <x v="4"/>
    <x v="118"/>
    <s v="Sunday"/>
    <s v="Cab to Usha Nani's House"/>
    <n v="287"/>
    <x v="1"/>
    <x v="4"/>
  </r>
  <r>
    <x v="4"/>
    <x v="118"/>
    <s v="Sunday"/>
    <s v="Souled Store Clothes"/>
    <n v="2471"/>
    <x v="1"/>
    <x v="3"/>
  </r>
  <r>
    <x v="4"/>
    <x v="118"/>
    <s v="Sunday"/>
    <s v="Rent + Maintainence"/>
    <n v="20666.666666666668"/>
    <x v="0"/>
    <x v="1"/>
  </r>
  <r>
    <x v="4"/>
    <x v="118"/>
    <s v="Sunday"/>
    <s v="Zepto Balance"/>
    <n v="1723"/>
    <x v="0"/>
    <x v="6"/>
  </r>
  <r>
    <x v="4"/>
    <x v="119"/>
    <s v="Tuesday"/>
    <s v="MF"/>
    <n v="15000"/>
    <x v="2"/>
    <x v="13"/>
  </r>
  <r>
    <x v="4"/>
    <x v="120"/>
    <s v="Wednesday"/>
    <s v="Fruits"/>
    <n v="892"/>
    <x v="0"/>
    <x v="6"/>
  </r>
  <r>
    <x v="4"/>
    <x v="120"/>
    <s v="Wednesday"/>
    <s v="Shoes (from Levi's)"/>
    <n v="1480"/>
    <x v="1"/>
    <x v="3"/>
  </r>
  <r>
    <x v="4"/>
    <x v="120"/>
    <s v="Wednesday"/>
    <s v="Metro"/>
    <n v="60"/>
    <x v="1"/>
    <x v="4"/>
  </r>
  <r>
    <x v="4"/>
    <x v="120"/>
    <s v="Wednesday"/>
    <s v="Champa Gali food"/>
    <n v="571"/>
    <x v="1"/>
    <x v="5"/>
  </r>
  <r>
    <x v="4"/>
    <x v="120"/>
    <s v="Wednesday"/>
    <s v="Auto"/>
    <n v="67"/>
    <x v="1"/>
    <x v="4"/>
  </r>
  <r>
    <x v="4"/>
    <x v="120"/>
    <s v="Wednesday"/>
    <s v="Metro"/>
    <n v="60"/>
    <x v="1"/>
    <x v="4"/>
  </r>
  <r>
    <x v="4"/>
    <x v="120"/>
    <s v="Wednesday"/>
    <s v="Chicken Afghani + Afghani Chap"/>
    <n v="824"/>
    <x v="1"/>
    <x v="5"/>
  </r>
  <r>
    <x v="4"/>
    <x v="121"/>
    <s v="Thursday"/>
    <s v="Metro"/>
    <n v="200"/>
    <x v="1"/>
    <x v="4"/>
  </r>
  <r>
    <x v="4"/>
    <x v="121"/>
    <s v="Thursday"/>
    <s v="Food @ Mehrauli Architectural Park"/>
    <n v="784"/>
    <x v="1"/>
    <x v="5"/>
  </r>
  <r>
    <x v="4"/>
    <x v="121"/>
    <s v="Thursday"/>
    <s v="Snacks @ Qutb Minar"/>
    <n v="145"/>
    <x v="1"/>
    <x v="5"/>
  </r>
  <r>
    <x v="4"/>
    <x v="121"/>
    <s v="Thursday"/>
    <s v="Doma Aunty's Momos @ Lajpat Nagar"/>
    <n v="200"/>
    <x v="1"/>
    <x v="5"/>
  </r>
  <r>
    <x v="4"/>
    <x v="121"/>
    <s v="Thursday"/>
    <s v="Charger for mom"/>
    <n v="750"/>
    <x v="1"/>
    <x v="9"/>
  </r>
  <r>
    <x v="4"/>
    <x v="121"/>
    <s v="Thursday"/>
    <s v="Pani Puri "/>
    <n v="30"/>
    <x v="1"/>
    <x v="5"/>
  </r>
  <r>
    <x v="4"/>
    <x v="121"/>
    <s v="Thursday"/>
    <s v="Big Chill Cakery"/>
    <n v="649"/>
    <x v="1"/>
    <x v="5"/>
  </r>
  <r>
    <x v="4"/>
    <x v="121"/>
    <s v="Thursday"/>
    <s v="Big Chill Cakery"/>
    <n v="295"/>
    <x v="1"/>
    <x v="5"/>
  </r>
  <r>
    <x v="4"/>
    <x v="121"/>
    <s v="Thursday"/>
    <s v="Metro"/>
    <n v="70"/>
    <x v="1"/>
    <x v="4"/>
  </r>
  <r>
    <x v="4"/>
    <x v="121"/>
    <s v="Thursday"/>
    <s v="Chicken"/>
    <n v="280"/>
    <x v="0"/>
    <x v="6"/>
  </r>
  <r>
    <x v="4"/>
    <x v="122"/>
    <s v="Friday"/>
    <s v="Metro"/>
    <n v="70"/>
    <x v="1"/>
    <x v="4"/>
  </r>
  <r>
    <x v="4"/>
    <x v="122"/>
    <s v="Friday"/>
    <s v="Metro"/>
    <n v="70"/>
    <x v="1"/>
    <x v="4"/>
  </r>
  <r>
    <x v="4"/>
    <x v="122"/>
    <s v="Friday"/>
    <s v="Bumble premium :("/>
    <n v="169"/>
    <x v="1"/>
    <x v="9"/>
  </r>
  <r>
    <x v="4"/>
    <x v="122"/>
    <s v="Friday"/>
    <s v="Auto"/>
    <n v="84"/>
    <x v="1"/>
    <x v="4"/>
  </r>
  <r>
    <x v="4"/>
    <x v="122"/>
    <s v="Friday"/>
    <s v="Waffle"/>
    <n v="85"/>
    <x v="1"/>
    <x v="5"/>
  </r>
  <r>
    <x v="4"/>
    <x v="122"/>
    <s v="Friday"/>
    <s v="Drinks"/>
    <n v="140"/>
    <x v="1"/>
    <x v="5"/>
  </r>
  <r>
    <x v="4"/>
    <x v="122"/>
    <s v="Friday"/>
    <s v="Kulcha"/>
    <n v="55"/>
    <x v="1"/>
    <x v="5"/>
  </r>
  <r>
    <x v="4"/>
    <x v="122"/>
    <s v="Friday"/>
    <s v="KFC"/>
    <n v="150"/>
    <x v="1"/>
    <x v="5"/>
  </r>
  <r>
    <x v="4"/>
    <x v="122"/>
    <s v="Friday"/>
    <s v="Taco Bell"/>
    <n v="77.5"/>
    <x v="1"/>
    <x v="5"/>
  </r>
  <r>
    <x v="4"/>
    <x v="122"/>
    <s v="Friday"/>
    <s v="Drinks again"/>
    <n v="60"/>
    <x v="1"/>
    <x v="5"/>
  </r>
  <r>
    <x v="4"/>
    <x v="122"/>
    <s v="Friday"/>
    <s v="Auto"/>
    <n v="84"/>
    <x v="1"/>
    <x v="4"/>
  </r>
  <r>
    <x v="4"/>
    <x v="123"/>
    <s v="Saturday"/>
    <s v="Veena Farewell Gift"/>
    <n v="500"/>
    <x v="1"/>
    <x v="2"/>
  </r>
  <r>
    <x v="4"/>
    <x v="123"/>
    <s v="Saturday"/>
    <s v="Metro"/>
    <n v="40"/>
    <x v="1"/>
    <x v="4"/>
  </r>
  <r>
    <x v="4"/>
    <x v="123"/>
    <s v="Saturday"/>
    <s v="Auto to Deer Park"/>
    <n v="31.5"/>
    <x v="1"/>
    <x v="4"/>
  </r>
  <r>
    <x v="4"/>
    <x v="123"/>
    <s v="Saturday"/>
    <s v="Hauz Khas Ticket"/>
    <n v="20"/>
    <x v="1"/>
    <x v="10"/>
  </r>
  <r>
    <x v="4"/>
    <x v="123"/>
    <s v="Saturday"/>
    <s v="Spotify"/>
    <n v="119"/>
    <x v="1"/>
    <x v="8"/>
  </r>
  <r>
    <x v="4"/>
    <x v="123"/>
    <s v="Saturday"/>
    <s v="Coast Café"/>
    <n v="1509.5"/>
    <x v="1"/>
    <x v="5"/>
  </r>
  <r>
    <x v="4"/>
    <x v="123"/>
    <s v="Saturday"/>
    <s v="Juice"/>
    <n v="60"/>
    <x v="1"/>
    <x v="5"/>
  </r>
  <r>
    <x v="4"/>
    <x v="123"/>
    <s v="Saturday"/>
    <s v="Metro"/>
    <n v="60"/>
    <x v="1"/>
    <x v="4"/>
  </r>
  <r>
    <x v="4"/>
    <x v="124"/>
    <s v="Sunday"/>
    <s v="Metro"/>
    <n v="40"/>
    <x v="1"/>
    <x v="4"/>
  </r>
  <r>
    <x v="4"/>
    <x v="124"/>
    <s v="Sunday"/>
    <s v="Auto to NGMA"/>
    <n v="33"/>
    <x v="1"/>
    <x v="4"/>
  </r>
  <r>
    <x v="4"/>
    <x v="124"/>
    <s v="Sunday"/>
    <s v="NGMA Ticket"/>
    <n v="20"/>
    <x v="1"/>
    <x v="10"/>
  </r>
  <r>
    <x v="4"/>
    <x v="124"/>
    <s v="Sunday"/>
    <s v="Papad"/>
    <n v="40"/>
    <x v="1"/>
    <x v="5"/>
  </r>
  <r>
    <x v="4"/>
    <x v="124"/>
    <s v="Sunday"/>
    <s v="Auto"/>
    <n v="37.5"/>
    <x v="1"/>
    <x v="4"/>
  </r>
  <r>
    <x v="4"/>
    <x v="124"/>
    <s v="Sunday"/>
    <s v="Café Sandos"/>
    <n v="885"/>
    <x v="1"/>
    <x v="5"/>
  </r>
  <r>
    <x v="4"/>
    <x v="124"/>
    <s v="Sunday"/>
    <s v="Naturals Café"/>
    <n v="100"/>
    <x v="1"/>
    <x v="5"/>
  </r>
  <r>
    <x v="4"/>
    <x v="124"/>
    <s v="Sunday"/>
    <s v="Metro"/>
    <n v="60"/>
    <x v="1"/>
    <x v="4"/>
  </r>
  <r>
    <x v="4"/>
    <x v="124"/>
    <s v="Sunday"/>
    <s v="Auto to Ambience"/>
    <n v="31.5"/>
    <x v="1"/>
    <x v="4"/>
  </r>
  <r>
    <x v="4"/>
    <x v="124"/>
    <s v="Sunday"/>
    <s v="Water Bottle"/>
    <n v="20"/>
    <x v="1"/>
    <x v="5"/>
  </r>
  <r>
    <x v="4"/>
    <x v="124"/>
    <s v="Sunday"/>
    <s v="Tshirt"/>
    <n v="400"/>
    <x v="1"/>
    <x v="3"/>
  </r>
  <r>
    <x v="4"/>
    <x v="124"/>
    <s v="Sunday"/>
    <s v="Cinnabon"/>
    <n v="75"/>
    <x v="1"/>
    <x v="5"/>
  </r>
  <r>
    <x v="4"/>
    <x v="124"/>
    <s v="Sunday"/>
    <s v="Auto to CyberCity"/>
    <n v="90"/>
    <x v="1"/>
    <x v="4"/>
  </r>
  <r>
    <x v="4"/>
    <x v="124"/>
    <s v="Sunday"/>
    <s v="Khan Chacha Rolls + KFC"/>
    <n v="343"/>
    <x v="1"/>
    <x v="5"/>
  </r>
  <r>
    <x v="4"/>
    <x v="124"/>
    <s v="Sunday"/>
    <s v="Auto home"/>
    <n v="75"/>
    <x v="1"/>
    <x v="4"/>
  </r>
  <r>
    <x v="4"/>
    <x v="125"/>
    <s v="Monday"/>
    <s v="Auto to station"/>
    <n v="103.5"/>
    <x v="1"/>
    <x v="4"/>
  </r>
  <r>
    <x v="4"/>
    <x v="125"/>
    <s v="Monday"/>
    <s v="Bike to home"/>
    <n v="119"/>
    <x v="1"/>
    <x v="4"/>
  </r>
  <r>
    <x v="4"/>
    <x v="125"/>
    <s v="Monday"/>
    <s v="Cab to Airport"/>
    <n v="501"/>
    <x v="1"/>
    <x v="4"/>
  </r>
  <r>
    <x v="4"/>
    <x v="125"/>
    <s v="Monday"/>
    <s v="Shuttle to gachibowli orr"/>
    <n v="250"/>
    <x v="1"/>
    <x v="4"/>
  </r>
  <r>
    <x v="4"/>
    <x v="126"/>
    <s v="Tuesday"/>
    <s v="Jacket"/>
    <n v="604"/>
    <x v="1"/>
    <x v="3"/>
  </r>
  <r>
    <x v="4"/>
    <x v="126"/>
    <s v="Tuesday"/>
    <s v="Auto to office"/>
    <n v="61"/>
    <x v="0"/>
    <x v="15"/>
  </r>
  <r>
    <x v="4"/>
    <x v="126"/>
    <s v="Tuesday"/>
    <s v="SmartQ"/>
    <n v="144"/>
    <x v="0"/>
    <x v="12"/>
  </r>
  <r>
    <x v="4"/>
    <x v="126"/>
    <s v="Tuesday"/>
    <s v="Samosa"/>
    <n v="16"/>
    <x v="1"/>
    <x v="5"/>
  </r>
  <r>
    <x v="4"/>
    <x v="127"/>
    <s v="Wednesday"/>
    <s v="Auto to office"/>
    <n v="87"/>
    <x v="0"/>
    <x v="15"/>
  </r>
  <r>
    <x v="4"/>
    <x v="127"/>
    <s v="Wednesday"/>
    <s v="Pushpa 2 ticket"/>
    <n v="229"/>
    <x v="1"/>
    <x v="10"/>
  </r>
  <r>
    <x v="4"/>
    <x v="127"/>
    <s v="Wednesday"/>
    <s v="SmartQ"/>
    <n v="375"/>
    <x v="0"/>
    <x v="12"/>
  </r>
  <r>
    <x v="4"/>
    <x v="127"/>
    <s v="Wednesday"/>
    <s v="Manchurian"/>
    <n v="74"/>
    <x v="1"/>
    <x v="5"/>
  </r>
  <r>
    <x v="4"/>
    <x v="127"/>
    <s v="Wednesday"/>
    <s v="Samosa"/>
    <n v="16"/>
    <x v="1"/>
    <x v="5"/>
  </r>
  <r>
    <x v="4"/>
    <x v="127"/>
    <s v="Wednesday"/>
    <s v="Zepto"/>
    <n v="719"/>
    <x v="1"/>
    <x v="5"/>
  </r>
  <r>
    <x v="4"/>
    <x v="128"/>
    <s v="Thursday"/>
    <s v="Auto to office"/>
    <n v="94"/>
    <x v="0"/>
    <x v="15"/>
  </r>
  <r>
    <x v="4"/>
    <x v="128"/>
    <s v="Thursday"/>
    <s v="Bike to home"/>
    <n v="37"/>
    <x v="0"/>
    <x v="15"/>
  </r>
  <r>
    <x v="4"/>
    <x v="128"/>
    <s v="Thursday"/>
    <s v="Bike to Sri Brahmaramba Theatre"/>
    <n v="106"/>
    <x v="1"/>
    <x v="4"/>
  </r>
  <r>
    <x v="4"/>
    <x v="129"/>
    <s v="Friday"/>
    <s v="Auto to home"/>
    <n v="97"/>
    <x v="1"/>
    <x v="4"/>
  </r>
  <r>
    <x v="4"/>
    <x v="129"/>
    <s v="Friday"/>
    <s v="JioCinema Subscription"/>
    <n v="29"/>
    <x v="1"/>
    <x v="8"/>
  </r>
  <r>
    <x v="4"/>
    <x v="129"/>
    <s v="Friday"/>
    <s v="Auto to office"/>
    <n v="47"/>
    <x v="0"/>
    <x v="15"/>
  </r>
  <r>
    <x v="4"/>
    <x v="129"/>
    <s v="Friday"/>
    <s v="SmartQ"/>
    <n v="445"/>
    <x v="0"/>
    <x v="12"/>
  </r>
  <r>
    <x v="4"/>
    <x v="129"/>
    <s v="Friday"/>
    <s v="Apples"/>
    <n v="85"/>
    <x v="1"/>
    <x v="5"/>
  </r>
  <r>
    <x v="4"/>
    <x v="129"/>
    <s v="Friday"/>
    <s v="Punugulu"/>
    <n v="20"/>
    <x v="1"/>
    <x v="5"/>
  </r>
  <r>
    <x v="4"/>
    <x v="129"/>
    <s v="Friday"/>
    <s v="Sugarcane"/>
    <n v="20"/>
    <x v="1"/>
    <x v="5"/>
  </r>
  <r>
    <x v="4"/>
    <x v="130"/>
    <s v="Saturday"/>
    <s v="KFC"/>
    <n v="620"/>
    <x v="1"/>
    <x v="5"/>
  </r>
  <r>
    <x v="4"/>
    <x v="130"/>
    <s v="Saturday"/>
    <s v="Movie Snacks"/>
    <n v="90"/>
    <x v="1"/>
    <x v="5"/>
  </r>
  <r>
    <x v="4"/>
    <x v="130"/>
    <s v="Saturday"/>
    <s v="Mutual Funds"/>
    <n v="20000"/>
    <x v="2"/>
    <x v="13"/>
  </r>
  <r>
    <x v="4"/>
    <x v="130"/>
    <s v="Saturday"/>
    <s v="Bike to restaurant"/>
    <n v="71"/>
    <x v="1"/>
    <x v="4"/>
  </r>
  <r>
    <x v="4"/>
    <x v="130"/>
    <s v="Saturday"/>
    <s v="Krishnapatnam restaurant food"/>
    <n v="666"/>
    <x v="1"/>
    <x v="5"/>
  </r>
  <r>
    <x v="4"/>
    <x v="130"/>
    <s v="Saturday"/>
    <s v="Cream Stone Ice Cream"/>
    <n v="137"/>
    <x v="1"/>
    <x v="5"/>
  </r>
  <r>
    <x v="4"/>
    <x v="130"/>
    <s v="Saturday"/>
    <s v="Bike to home"/>
    <n v="66"/>
    <x v="1"/>
    <x v="4"/>
  </r>
  <r>
    <x v="4"/>
    <x v="131"/>
    <s v="Sunday"/>
    <s v="Zepto"/>
    <n v="480"/>
    <x v="1"/>
    <x v="5"/>
  </r>
  <r>
    <x v="4"/>
    <x v="131"/>
    <s v="Sunday"/>
    <s v="PPF Account"/>
    <n v="60000"/>
    <x v="2"/>
    <x v="19"/>
  </r>
  <r>
    <x v="4"/>
    <x v="132"/>
    <s v="Monday"/>
    <s v="Auto to Office"/>
    <n v="60"/>
    <x v="0"/>
    <x v="15"/>
  </r>
  <r>
    <x v="4"/>
    <x v="132"/>
    <s v="Monday"/>
    <s v="SmartQ"/>
    <n v="90"/>
    <x v="0"/>
    <x v="12"/>
  </r>
  <r>
    <x v="4"/>
    <x v="132"/>
    <s v="Monday"/>
    <s v="Auto to home"/>
    <n v="70"/>
    <x v="0"/>
    <x v="15"/>
  </r>
  <r>
    <x v="4"/>
    <x v="132"/>
    <s v="Monday"/>
    <s v="KFC"/>
    <n v="606"/>
    <x v="1"/>
    <x v="5"/>
  </r>
  <r>
    <x v="4"/>
    <x v="133"/>
    <s v="Tuesday"/>
    <s v="Zepto"/>
    <n v="344"/>
    <x v="0"/>
    <x v="6"/>
  </r>
  <r>
    <x v="4"/>
    <x v="133"/>
    <s v="Tuesday"/>
    <s v="to Office"/>
    <n v="58"/>
    <x v="0"/>
    <x v="15"/>
  </r>
  <r>
    <x v="4"/>
    <x v="133"/>
    <s v="Tuesday"/>
    <s v="Angel one trying stocks"/>
    <n v="10000"/>
    <x v="2"/>
    <x v="16"/>
  </r>
  <r>
    <x v="4"/>
    <x v="133"/>
    <s v="Tuesday"/>
    <s v="Swiggy"/>
    <n v="645"/>
    <x v="1"/>
    <x v="5"/>
  </r>
  <r>
    <x v="4"/>
    <x v="134"/>
    <s v="Wednesday"/>
    <s v="Instamart"/>
    <n v="263"/>
    <x v="1"/>
    <x v="9"/>
  </r>
  <r>
    <x v="4"/>
    <x v="134"/>
    <s v="Wednesday"/>
    <s v="To Office"/>
    <n v="58"/>
    <x v="0"/>
    <x v="15"/>
  </r>
  <r>
    <x v="4"/>
    <x v="134"/>
    <s v="Wednesday"/>
    <s v="SmartQ"/>
    <n v="174"/>
    <x v="0"/>
    <x v="12"/>
  </r>
  <r>
    <x v="4"/>
    <x v="134"/>
    <s v="Wednesday"/>
    <s v="Shah Ghouse"/>
    <n v="272"/>
    <x v="1"/>
    <x v="5"/>
  </r>
  <r>
    <x v="4"/>
    <x v="135"/>
    <s v="Thursday"/>
    <s v="Swiggy"/>
    <n v="400"/>
    <x v="1"/>
    <x v="5"/>
  </r>
  <r>
    <x v="4"/>
    <x v="135"/>
    <s v="Thursday"/>
    <s v="Zepto"/>
    <n v="463"/>
    <x v="1"/>
    <x v="9"/>
  </r>
  <r>
    <x v="4"/>
    <x v="136"/>
    <s v="Friday"/>
    <s v="Swiggy"/>
    <n v="516"/>
    <x v="1"/>
    <x v="5"/>
  </r>
  <r>
    <x v="4"/>
    <x v="137"/>
    <s v="Saturday"/>
    <s v="water can"/>
    <n v="30"/>
    <x v="0"/>
    <x v="6"/>
  </r>
  <r>
    <x v="4"/>
    <x v="137"/>
    <s v="Saturday"/>
    <s v="to LP"/>
    <n v="55"/>
    <x v="1"/>
    <x v="9"/>
  </r>
  <r>
    <x v="4"/>
    <x v="137"/>
    <s v="Saturday"/>
    <s v="Swiggy"/>
    <n v="317"/>
    <x v="1"/>
    <x v="5"/>
  </r>
  <r>
    <x v="4"/>
    <x v="137"/>
    <s v="Saturday"/>
    <s v="Angel one trying stocks"/>
    <n v="10000"/>
    <x v="2"/>
    <x v="16"/>
  </r>
  <r>
    <x v="4"/>
    <x v="137"/>
    <s v="Saturday"/>
    <s v="Beyoung (some clothes)"/>
    <n v="1449"/>
    <x v="1"/>
    <x v="3"/>
  </r>
  <r>
    <x v="4"/>
    <x v="137"/>
    <s v="Saturday"/>
    <s v="Auto to metro"/>
    <n v="61"/>
    <x v="1"/>
    <x v="4"/>
  </r>
  <r>
    <x v="4"/>
    <x v="137"/>
    <s v="Saturday"/>
    <s v="Metro"/>
    <n v="40"/>
    <x v="1"/>
    <x v="4"/>
  </r>
  <r>
    <x v="4"/>
    <x v="137"/>
    <s v="Saturday"/>
    <s v="Creamstone"/>
    <n v="105"/>
    <x v="1"/>
    <x v="5"/>
  </r>
  <r>
    <x v="4"/>
    <x v="137"/>
    <s v="Saturday"/>
    <s v="levis"/>
    <n v="7460"/>
    <x v="1"/>
    <x v="3"/>
  </r>
  <r>
    <x v="4"/>
    <x v="137"/>
    <s v="Saturday"/>
    <s v="metro"/>
    <n v="40"/>
    <x v="1"/>
    <x v="4"/>
  </r>
  <r>
    <x v="4"/>
    <x v="137"/>
    <s v="Saturday"/>
    <s v="bike to home"/>
    <n v="33"/>
    <x v="1"/>
    <x v="4"/>
  </r>
  <r>
    <x v="4"/>
    <x v="138"/>
    <s v="Sunday"/>
    <s v="Netflix"/>
    <n v="199"/>
    <x v="1"/>
    <x v="8"/>
  </r>
  <r>
    <x v="4"/>
    <x v="138"/>
    <s v="Sunday"/>
    <s v="To badminton"/>
    <n v="57"/>
    <x v="1"/>
    <x v="4"/>
  </r>
  <r>
    <x v="4"/>
    <x v="138"/>
    <s v="Sunday"/>
    <s v="badminton"/>
    <n v="290"/>
    <x v="1"/>
    <x v="10"/>
  </r>
  <r>
    <x v="4"/>
    <x v="138"/>
    <s v="Sunday"/>
    <s v="To home"/>
    <n v="81"/>
    <x v="1"/>
    <x v="4"/>
  </r>
  <r>
    <x v="4"/>
    <x v="138"/>
    <s v="Sunday"/>
    <s v="Zepto"/>
    <n v="482"/>
    <x v="0"/>
    <x v="6"/>
  </r>
  <r>
    <x v="4"/>
    <x v="138"/>
    <s v="Sunday"/>
    <s v="auto from gf mandi"/>
    <n v="185"/>
    <x v="1"/>
    <x v="9"/>
  </r>
  <r>
    <x v="4"/>
    <x v="138"/>
    <s v="Sunday"/>
    <s v="auto to gf mandi"/>
    <n v="37"/>
    <x v="1"/>
    <x v="9"/>
  </r>
  <r>
    <x v="4"/>
    <x v="138"/>
    <s v="Sunday"/>
    <s v="gf mandi"/>
    <n v="359"/>
    <x v="1"/>
    <x v="5"/>
  </r>
  <r>
    <x v="4"/>
    <x v="138"/>
    <s v="Sunday"/>
    <s v="domino's"/>
    <n v="207"/>
    <x v="1"/>
    <x v="5"/>
  </r>
  <r>
    <x v="4"/>
    <x v="139"/>
    <s v="Monday"/>
    <s v="Angel one stocks"/>
    <n v="10000"/>
    <x v="2"/>
    <x v="16"/>
  </r>
  <r>
    <x v="4"/>
    <x v="139"/>
    <s v="Monday"/>
    <s v="Zepto"/>
    <n v="552"/>
    <x v="0"/>
    <x v="6"/>
  </r>
  <r>
    <x v="4"/>
    <x v="139"/>
    <s v="Monday"/>
    <s v="bike to decathlon"/>
    <n v="38"/>
    <x v="1"/>
    <x v="4"/>
  </r>
  <r>
    <x v="4"/>
    <x v="139"/>
    <s v="Monday"/>
    <s v="Decathlon (swimming stuff)"/>
    <n v="2807"/>
    <x v="1"/>
    <x v="3"/>
  </r>
  <r>
    <x v="4"/>
    <x v="139"/>
    <s v="Monday"/>
    <s v="bike to home"/>
    <n v="32"/>
    <x v="1"/>
    <x v="4"/>
  </r>
  <r>
    <x v="4"/>
    <x v="139"/>
    <s v="Monday"/>
    <s v="Trip money (to depreeth)"/>
    <n v="2600"/>
    <x v="1"/>
    <x v="10"/>
  </r>
  <r>
    <x v="4"/>
    <x v="140"/>
    <s v="Tuesday"/>
    <s v="Angel one stocks"/>
    <n v="5000"/>
    <x v="2"/>
    <x v="16"/>
  </r>
  <r>
    <x v="4"/>
    <x v="140"/>
    <s v="Tuesday"/>
    <s v="Zepto"/>
    <n v="421"/>
    <x v="1"/>
    <x v="9"/>
  </r>
  <r>
    <x v="4"/>
    <x v="140"/>
    <s v="Tuesday"/>
    <s v="Swiggy"/>
    <n v="415"/>
    <x v="1"/>
    <x v="5"/>
  </r>
  <r>
    <x v="4"/>
    <x v="140"/>
    <s v="Tuesday"/>
    <s v="metro"/>
    <n v="45"/>
    <x v="1"/>
    <x v="4"/>
  </r>
  <r>
    <x v="4"/>
    <x v="140"/>
    <s v="Tuesday"/>
    <s v="idk"/>
    <n v="87"/>
    <x v="1"/>
    <x v="9"/>
  </r>
  <r>
    <x v="4"/>
    <x v="141"/>
    <s v="Thursday"/>
    <s v="Jio recharge"/>
    <n v="49"/>
    <x v="0"/>
    <x v="14"/>
  </r>
  <r>
    <x v="4"/>
    <x v="142"/>
    <s v="Sunday"/>
    <s v="Vizag Trip"/>
    <n v="7000"/>
    <x v="1"/>
    <x v="10"/>
  </r>
  <r>
    <x v="4"/>
    <x v="142"/>
    <s v="Sunday"/>
    <s v="Swiggy"/>
    <n v="544"/>
    <x v="1"/>
    <x v="5"/>
  </r>
  <r>
    <x v="4"/>
    <x v="143"/>
    <s v="Monday"/>
    <s v="Zepto?"/>
    <n v="350"/>
    <x v="1"/>
    <x v="9"/>
  </r>
  <r>
    <x v="4"/>
    <x v="143"/>
    <s v="Monday"/>
    <s v="Swiggy"/>
    <n v="793"/>
    <x v="1"/>
    <x v="5"/>
  </r>
  <r>
    <x v="4"/>
    <x v="144"/>
    <s v="Tuesday"/>
    <s v="Swiggy"/>
    <n v="462"/>
    <x v="1"/>
    <x v="5"/>
  </r>
  <r>
    <x v="4"/>
    <x v="144"/>
    <s v="Tuesday"/>
    <s v="Zepto"/>
    <n v="485"/>
    <x v="1"/>
    <x v="9"/>
  </r>
  <r>
    <x v="4"/>
    <x v="144"/>
    <s v="Tuesday"/>
    <s v="Instamart"/>
    <n v="481"/>
    <x v="0"/>
    <x v="6"/>
  </r>
  <r>
    <x v="4"/>
    <x v="144"/>
    <s v="Tuesday"/>
    <s v="Swiggy"/>
    <n v="551"/>
    <x v="1"/>
    <x v="5"/>
  </r>
  <r>
    <x v="5"/>
    <x v="145"/>
    <s v="Wednesday"/>
    <s v="Rent + Maintainence"/>
    <n v="20666.666666666668"/>
    <x v="0"/>
    <x v="1"/>
  </r>
  <r>
    <x v="5"/>
    <x v="145"/>
    <s v="Wednesday"/>
    <s v="Zepto"/>
    <n v="254"/>
    <x v="1"/>
    <x v="5"/>
  </r>
  <r>
    <x v="5"/>
    <x v="146"/>
    <s v="Thursday"/>
    <s v="To office"/>
    <n v="54"/>
    <x v="0"/>
    <x v="15"/>
  </r>
  <r>
    <x v="5"/>
    <x v="146"/>
    <s v="Thursday"/>
    <s v="SmartQ"/>
    <n v="214"/>
    <x v="0"/>
    <x v="12"/>
  </r>
  <r>
    <x v="5"/>
    <x v="146"/>
    <s v="Thursday"/>
    <s v="Biriyanis and More"/>
    <n v="271.66666666666669"/>
    <x v="1"/>
    <x v="5"/>
  </r>
  <r>
    <x v="5"/>
    <x v="146"/>
    <s v="Thursday"/>
    <s v="Groceries balance (splitwise)"/>
    <n v="1420"/>
    <x v="0"/>
    <x v="6"/>
  </r>
  <r>
    <x v="5"/>
    <x v="147"/>
    <s v="Friday"/>
    <s v="MF"/>
    <n v="15000"/>
    <x v="2"/>
    <x v="13"/>
  </r>
  <r>
    <x v="5"/>
    <x v="147"/>
    <s v="Friday"/>
    <s v="To office"/>
    <n v="43"/>
    <x v="0"/>
    <x v="15"/>
  </r>
  <r>
    <x v="5"/>
    <x v="147"/>
    <s v="Friday"/>
    <s v="To home"/>
    <n v="28"/>
    <x v="0"/>
    <x v="15"/>
  </r>
  <r>
    <x v="5"/>
    <x v="147"/>
    <s v="Friday"/>
    <s v="Smartwatch"/>
    <n v="2984"/>
    <x v="1"/>
    <x v="9"/>
  </r>
  <r>
    <x v="5"/>
    <x v="147"/>
    <s v="Friday"/>
    <s v="Swiggy"/>
    <n v="434"/>
    <x v="1"/>
    <x v="5"/>
  </r>
  <r>
    <x v="5"/>
    <x v="147"/>
    <s v="Friday"/>
    <s v="movie ticket"/>
    <n v="53"/>
    <x v="1"/>
    <x v="10"/>
  </r>
  <r>
    <x v="5"/>
    <x v="148"/>
    <s v="Saturday"/>
    <s v="to badminton"/>
    <n v="53"/>
    <x v="1"/>
    <x v="4"/>
  </r>
  <r>
    <x v="5"/>
    <x v="148"/>
    <s v="Saturday"/>
    <s v="Swiggy"/>
    <n v="222"/>
    <x v="1"/>
    <x v="5"/>
  </r>
  <r>
    <x v="5"/>
    <x v="148"/>
    <s v="Saturday"/>
    <s v="To metro"/>
    <n v="41"/>
    <x v="1"/>
    <x v="4"/>
  </r>
  <r>
    <x v="5"/>
    <x v="148"/>
    <s v="Saturday"/>
    <s v="metro fruits"/>
    <n v="35"/>
    <x v="1"/>
    <x v="5"/>
  </r>
  <r>
    <x v="5"/>
    <x v="148"/>
    <s v="Saturday"/>
    <s v="metro"/>
    <n v="100"/>
    <x v="1"/>
    <x v="4"/>
  </r>
  <r>
    <x v="5"/>
    <x v="148"/>
    <s v="Saturday"/>
    <s v="bawarchi"/>
    <n v="364"/>
    <x v="1"/>
    <x v="5"/>
  </r>
  <r>
    <x v="5"/>
    <x v="148"/>
    <s v="Saturday"/>
    <s v="to home"/>
    <n v="47"/>
    <x v="1"/>
    <x v="4"/>
  </r>
  <r>
    <x v="5"/>
    <x v="149"/>
    <s v="Sunday"/>
    <s v="Zepto"/>
    <n v="502"/>
    <x v="1"/>
    <x v="5"/>
  </r>
  <r>
    <x v="5"/>
    <x v="149"/>
    <s v="Sunday"/>
    <s v="Badminton"/>
    <n v="310"/>
    <x v="1"/>
    <x v="10"/>
  </r>
  <r>
    <x v="5"/>
    <x v="149"/>
    <s v="Sunday"/>
    <s v="Badminton"/>
    <n v="205"/>
    <x v="1"/>
    <x v="10"/>
  </r>
  <r>
    <x v="5"/>
    <x v="150"/>
    <s v="Monday"/>
    <s v="To office"/>
    <n v="56"/>
    <x v="0"/>
    <x v="15"/>
  </r>
  <r>
    <x v="5"/>
    <x v="150"/>
    <s v="Monday"/>
    <s v="Pakwan grand lunch"/>
    <n v="1032"/>
    <x v="0"/>
    <x v="12"/>
  </r>
  <r>
    <x v="5"/>
    <x v="150"/>
    <s v="Monday"/>
    <s v="Swiggy"/>
    <n v="732"/>
    <x v="1"/>
    <x v="5"/>
  </r>
  <r>
    <x v="5"/>
    <x v="151"/>
    <s v="Tuesday"/>
    <s v="Swiggy"/>
    <n v="805"/>
    <x v="1"/>
    <x v="5"/>
  </r>
  <r>
    <x v="5"/>
    <x v="151"/>
    <s v="Tuesday"/>
    <s v="Spotify"/>
    <n v="119"/>
    <x v="1"/>
    <x v="8"/>
  </r>
  <r>
    <x v="5"/>
    <x v="152"/>
    <s v="Wednesday"/>
    <s v="to office"/>
    <n v="94"/>
    <x v="0"/>
    <x v="15"/>
  </r>
  <r>
    <x v="5"/>
    <x v="152"/>
    <s v="Wednesday"/>
    <s v="to home"/>
    <n v="48"/>
    <x v="0"/>
    <x v="15"/>
  </r>
  <r>
    <x v="5"/>
    <x v="153"/>
    <s v="Thursday"/>
    <s v="to office"/>
    <n v="50"/>
    <x v="0"/>
    <x v="15"/>
  </r>
  <r>
    <x v="5"/>
    <x v="153"/>
    <s v="Thursday"/>
    <s v="airtel recharge"/>
    <n v="534"/>
    <x v="0"/>
    <x v="14"/>
  </r>
  <r>
    <x v="5"/>
    <x v="153"/>
    <s v="Thursday"/>
    <s v="SmartQ"/>
    <n v="110"/>
    <x v="0"/>
    <x v="12"/>
  </r>
  <r>
    <x v="5"/>
    <x v="154"/>
    <s v="Friday"/>
    <s v="Swiggy"/>
    <n v="519"/>
    <x v="1"/>
    <x v="5"/>
  </r>
  <r>
    <x v="5"/>
    <x v="154"/>
    <s v="Friday"/>
    <s v="to office"/>
    <n v="54"/>
    <x v="0"/>
    <x v="15"/>
  </r>
  <r>
    <x v="5"/>
    <x v="155"/>
    <s v="Saturday"/>
    <s v="Panchakattu dosa w bittu dada"/>
    <n v="310"/>
    <x v="1"/>
    <x v="5"/>
  </r>
  <r>
    <x v="5"/>
    <x v="155"/>
    <s v="Saturday"/>
    <s v="Coconut water"/>
    <n v="120"/>
    <x v="1"/>
    <x v="5"/>
  </r>
  <r>
    <x v="5"/>
    <x v="155"/>
    <s v="Saturday"/>
    <s v="Swiggy"/>
    <n v="595"/>
    <x v="1"/>
    <x v="5"/>
  </r>
  <r>
    <x v="5"/>
    <x v="156"/>
    <s v="Sunday"/>
    <s v="Swiggy"/>
    <n v="805"/>
    <x v="1"/>
    <x v="5"/>
  </r>
  <r>
    <x v="5"/>
    <x v="156"/>
    <s v="Sunday"/>
    <s v="Water can refill"/>
    <n v="40"/>
    <x v="0"/>
    <x v="6"/>
  </r>
  <r>
    <x v="5"/>
    <x v="157"/>
    <s v="Monday"/>
    <s v="Jio Cinema"/>
    <n v="29"/>
    <x v="1"/>
    <x v="8"/>
  </r>
  <r>
    <x v="5"/>
    <x v="157"/>
    <s v="Monday"/>
    <s v="to office"/>
    <n v="47"/>
    <x v="0"/>
    <x v="15"/>
  </r>
  <r>
    <x v="5"/>
    <x v="157"/>
    <s v="Monday"/>
    <s v="badminton early dues"/>
    <n v="400"/>
    <x v="1"/>
    <x v="10"/>
  </r>
  <r>
    <x v="5"/>
    <x v="157"/>
    <s v="Monday"/>
    <s v="SmartQ"/>
    <n v="195"/>
    <x v="0"/>
    <x v="12"/>
  </r>
  <r>
    <x v="5"/>
    <x v="158"/>
    <s v="Tuesday"/>
    <s v="Zepto"/>
    <n v="566.66666666666663"/>
    <x v="0"/>
    <x v="0"/>
  </r>
  <r>
    <x v="5"/>
    <x v="158"/>
    <s v="Tuesday"/>
    <s v="Swiggy"/>
    <n v="525"/>
    <x v="0"/>
    <x v="0"/>
  </r>
  <r>
    <x v="5"/>
    <x v="158"/>
    <s v="Tuesday"/>
    <s v="Flight tickets (hyd to cok, cok to hyd)"/>
    <n v="11202.5"/>
    <x v="0"/>
    <x v="0"/>
  </r>
  <r>
    <x v="5"/>
    <x v="158"/>
    <s v="Tuesday"/>
    <s v="MMT Package 1st half"/>
    <n v="5734"/>
    <x v="0"/>
    <x v="0"/>
  </r>
  <r>
    <x v="5"/>
    <x v="159"/>
    <s v="Wednesday"/>
    <s v="To office"/>
    <n v="56"/>
    <x v="0"/>
    <x v="15"/>
  </r>
  <r>
    <x v="5"/>
    <x v="159"/>
    <s v="Wednesday"/>
    <s v="SmartQ lunch and dinner"/>
    <n v="359"/>
    <x v="0"/>
    <x v="12"/>
  </r>
  <r>
    <x v="5"/>
    <x v="160"/>
    <s v="Thursday"/>
    <s v="To office"/>
    <n v="55"/>
    <x v="0"/>
    <x v="15"/>
  </r>
  <r>
    <x v="5"/>
    <x v="160"/>
    <s v="Thursday"/>
    <s v="SmartQ"/>
    <n v="155"/>
    <x v="0"/>
    <x v="12"/>
  </r>
  <r>
    <x v="5"/>
    <x v="160"/>
    <s v="Thursday"/>
    <s v="Biriyani's and More"/>
    <n v="285"/>
    <x v="1"/>
    <x v="5"/>
  </r>
  <r>
    <x v="5"/>
    <x v="160"/>
    <s v="Thursday"/>
    <s v="Coffee"/>
    <n v="40"/>
    <x v="1"/>
    <x v="5"/>
  </r>
  <r>
    <x v="5"/>
    <x v="161"/>
    <s v="Friday"/>
    <s v="Interstellar ticket"/>
    <n v="328"/>
    <x v="1"/>
    <x v="10"/>
  </r>
  <r>
    <x v="5"/>
    <x v="161"/>
    <s v="Friday"/>
    <s v="To office"/>
    <n v="56"/>
    <x v="0"/>
    <x v="15"/>
  </r>
  <r>
    <x v="5"/>
    <x v="161"/>
    <s v="Friday"/>
    <s v="SmartQ"/>
    <n v="145"/>
    <x v="0"/>
    <x v="12"/>
  </r>
  <r>
    <x v="5"/>
    <x v="161"/>
    <s v="Friday"/>
    <s v="Fruits and vegetables"/>
    <n v="216.66666666666669"/>
    <x v="0"/>
    <x v="6"/>
  </r>
  <r>
    <x v="5"/>
    <x v="161"/>
    <s v="Friday"/>
    <s v="Bike to market (for walk)"/>
    <n v="45"/>
    <x v="1"/>
    <x v="4"/>
  </r>
  <r>
    <x v="5"/>
    <x v="162"/>
    <s v="Saturday"/>
    <s v="Swiggy"/>
    <n v="356"/>
    <x v="1"/>
    <x v="5"/>
  </r>
  <r>
    <x v="5"/>
    <x v="163"/>
    <s v="Sunday"/>
    <s v="Zepto"/>
    <n v="696"/>
    <x v="0"/>
    <x v="6"/>
  </r>
  <r>
    <x v="5"/>
    <x v="163"/>
    <s v="Sunday"/>
    <s v="Haircut"/>
    <n v="150"/>
    <x v="0"/>
    <x v="11"/>
  </r>
  <r>
    <x v="5"/>
    <x v="164"/>
    <s v="Monday"/>
    <s v="To office"/>
    <n v="50"/>
    <x v="0"/>
    <x v="15"/>
  </r>
  <r>
    <x v="5"/>
    <x v="164"/>
    <s v="Monday"/>
    <s v="SmartQ"/>
    <n v="174"/>
    <x v="0"/>
    <x v="12"/>
  </r>
  <r>
    <x v="5"/>
    <x v="164"/>
    <s v="Monday"/>
    <s v="Coconut water"/>
    <n v="60"/>
    <x v="1"/>
    <x v="5"/>
  </r>
  <r>
    <x v="5"/>
    <x v="165"/>
    <s v="Tuesday"/>
    <s v="Zepto"/>
    <n v="718.66666666666663"/>
    <x v="1"/>
    <x v="5"/>
  </r>
  <r>
    <x v="5"/>
    <x v="165"/>
    <s v="Tuesday"/>
    <s v="Swiggy"/>
    <n v="326"/>
    <x v="1"/>
    <x v="5"/>
  </r>
  <r>
    <x v="5"/>
    <x v="166"/>
    <s v="Wednesday"/>
    <s v="To office"/>
    <n v="53"/>
    <x v="0"/>
    <x v="15"/>
  </r>
  <r>
    <x v="5"/>
    <x v="166"/>
    <s v="Wednesday"/>
    <s v="Biriayni's and More"/>
    <n v="350"/>
    <x v="1"/>
    <x v="5"/>
  </r>
  <r>
    <x v="5"/>
    <x v="167"/>
    <s v="Thursday"/>
    <s v="Poojitha's Birthday gift+cake"/>
    <n v="375"/>
    <x v="1"/>
    <x v="2"/>
  </r>
  <r>
    <x v="5"/>
    <x v="167"/>
    <s v="Thursday"/>
    <s v="Coffee"/>
    <n v="40"/>
    <x v="0"/>
    <x v="12"/>
  </r>
  <r>
    <x v="5"/>
    <x v="168"/>
    <s v="Friday"/>
    <s v="To home"/>
    <n v="28"/>
    <x v="1"/>
    <x v="4"/>
  </r>
  <r>
    <x v="5"/>
    <x v="168"/>
    <s v="Friday"/>
    <s v="Ed Sheeran Ticket Price"/>
    <n v="3984"/>
    <x v="1"/>
    <x v="10"/>
  </r>
  <r>
    <x v="5"/>
    <x v="168"/>
    <s v="Friday"/>
    <s v="Shawarma"/>
    <n v="100"/>
    <x v="1"/>
    <x v="5"/>
  </r>
  <r>
    <x v="5"/>
    <x v="168"/>
    <s v="Friday"/>
    <s v="Coconut Water"/>
    <n v="30"/>
    <x v="1"/>
    <x v="5"/>
  </r>
  <r>
    <x v="5"/>
    <x v="168"/>
    <s v="Friday"/>
    <s v="Grapes"/>
    <n v="120"/>
    <x v="0"/>
    <x v="6"/>
  </r>
  <r>
    <x v="5"/>
    <x v="169"/>
    <s v="Saturday"/>
    <s v="Bike to Pista house"/>
    <n v="26"/>
    <x v="1"/>
    <x v="4"/>
  </r>
  <r>
    <x v="5"/>
    <x v="169"/>
    <s v="Saturday"/>
    <s v="Zoo Ticket"/>
    <n v="93.34"/>
    <x v="1"/>
    <x v="10"/>
  </r>
  <r>
    <x v="5"/>
    <x v="169"/>
    <s v="Saturday"/>
    <s v="Zoo food"/>
    <n v="222"/>
    <x v="1"/>
    <x v="5"/>
  </r>
  <r>
    <x v="5"/>
    <x v="169"/>
    <s v="Saturday"/>
    <s v="KFC"/>
    <n v="407"/>
    <x v="1"/>
    <x v="5"/>
  </r>
  <r>
    <x v="5"/>
    <x v="170"/>
    <s v="Sunday"/>
    <s v="Subway"/>
    <n v="855"/>
    <x v="1"/>
    <x v="5"/>
  </r>
  <r>
    <x v="5"/>
    <x v="170"/>
    <s v="Sunday"/>
    <s v="To Shlok"/>
    <n v="5000"/>
    <x v="1"/>
    <x v="2"/>
  </r>
  <r>
    <x v="5"/>
    <x v="171"/>
    <s v="Monday"/>
    <s v="Zepto"/>
    <n v="361"/>
    <x v="1"/>
    <x v="5"/>
  </r>
  <r>
    <x v="5"/>
    <x v="171"/>
    <s v="Monday"/>
    <s v="Angel one parked money"/>
    <n v="20000"/>
    <x v="2"/>
    <x v="13"/>
  </r>
  <r>
    <x v="5"/>
    <x v="171"/>
    <s v="Monday"/>
    <s v="airtel recharge"/>
    <n v="530"/>
    <x v="1"/>
    <x v="5"/>
  </r>
  <r>
    <x v="5"/>
    <x v="172"/>
    <s v="Tuesday"/>
    <s v="Swiggy"/>
    <n v="821"/>
    <x v="1"/>
    <x v="5"/>
  </r>
  <r>
    <x v="5"/>
    <x v="172"/>
    <s v="Tuesday"/>
    <s v="Pani"/>
    <n v="240"/>
    <x v="0"/>
    <x v="6"/>
  </r>
  <r>
    <x v="5"/>
    <x v="173"/>
    <s v="Wednesday"/>
    <s v="To office"/>
    <n v="51"/>
    <x v="0"/>
    <x v="15"/>
  </r>
  <r>
    <x v="5"/>
    <x v="173"/>
    <s v="Wednesday"/>
    <s v="Swiggy"/>
    <n v="210"/>
    <x v="1"/>
    <x v="5"/>
  </r>
  <r>
    <x v="5"/>
    <x v="174"/>
    <s v="Thursday"/>
    <s v="To office"/>
    <n v="49"/>
    <x v="1"/>
    <x v="5"/>
  </r>
  <r>
    <x v="5"/>
    <x v="174"/>
    <s v="Thursday"/>
    <s v="SmartQ"/>
    <n v="90"/>
    <x v="0"/>
    <x v="15"/>
  </r>
  <r>
    <x v="5"/>
    <x v="174"/>
    <s v="Thursday"/>
    <s v="Swiggy"/>
    <n v="462"/>
    <x v="1"/>
    <x v="5"/>
  </r>
  <r>
    <x v="5"/>
    <x v="175"/>
    <s v="Friday"/>
    <s v="Swiggy"/>
    <n v="684"/>
    <x v="1"/>
    <x v="5"/>
  </r>
  <r>
    <x v="5"/>
    <x v="175"/>
    <s v="Friday"/>
    <s v="Instamart"/>
    <n v="480"/>
    <x v="1"/>
    <x v="5"/>
  </r>
  <r>
    <x v="6"/>
    <x v="176"/>
    <s v="Saturday"/>
    <s v="Cook"/>
    <n v="2000"/>
    <x v="0"/>
    <x v="20"/>
  </r>
  <r>
    <x v="6"/>
    <x v="176"/>
    <s v="Saturday"/>
    <s v="Rent + Maintainence"/>
    <n v="20667"/>
    <x v="0"/>
    <x v="1"/>
  </r>
  <r>
    <x v="6"/>
    <x v="176"/>
    <s v="Saturday"/>
    <s v="To raidurg"/>
    <n v="33"/>
    <x v="1"/>
    <x v="5"/>
  </r>
  <r>
    <x v="6"/>
    <x v="176"/>
    <s v="Saturday"/>
    <s v="Metro to nampally"/>
    <n v="90"/>
    <x v="1"/>
    <x v="4"/>
  </r>
  <r>
    <x v="6"/>
    <x v="176"/>
    <s v="Saturday"/>
    <s v="numaish ticket"/>
    <n v="50"/>
    <x v="1"/>
    <x v="4"/>
  </r>
  <r>
    <x v="6"/>
    <x v="176"/>
    <s v="Saturday"/>
    <s v="plates"/>
    <n v="160"/>
    <x v="1"/>
    <x v="17"/>
  </r>
  <r>
    <x v="6"/>
    <x v="176"/>
    <s v="Saturday"/>
    <s v="fish"/>
    <n v="100"/>
    <x v="1"/>
    <x v="5"/>
  </r>
  <r>
    <x v="6"/>
    <x v="176"/>
    <s v="Saturday"/>
    <s v="pav bhaji"/>
    <n v="180"/>
    <x v="1"/>
    <x v="5"/>
  </r>
  <r>
    <x v="6"/>
    <x v="176"/>
    <s v="Saturday"/>
    <s v="micchi bajji"/>
    <n v="33.333333333333336"/>
    <x v="1"/>
    <x v="5"/>
  </r>
  <r>
    <x v="6"/>
    <x v="176"/>
    <s v="Saturday"/>
    <s v="Pen stands"/>
    <n v="160"/>
    <x v="1"/>
    <x v="17"/>
  </r>
  <r>
    <x v="6"/>
    <x v="176"/>
    <s v="Saturday"/>
    <s v="Sweet Corn"/>
    <n v="50"/>
    <x v="1"/>
    <x v="5"/>
  </r>
  <r>
    <x v="6"/>
    <x v="176"/>
    <s v="Saturday"/>
    <s v="Metro to raidurg"/>
    <n v="45"/>
    <x v="1"/>
    <x v="4"/>
  </r>
  <r>
    <x v="6"/>
    <x v="176"/>
    <s v="Saturday"/>
    <s v="Bike home"/>
    <n v="47"/>
    <x v="1"/>
    <x v="4"/>
  </r>
  <r>
    <x v="6"/>
    <x v="177"/>
    <s v="Sunday"/>
    <s v="Jio recharge 1 day"/>
    <n v="49"/>
    <x v="0"/>
    <x v="14"/>
  </r>
  <r>
    <x v="6"/>
    <x v="177"/>
    <s v="Sunday"/>
    <s v="Ramoji transport"/>
    <n v="992"/>
    <x v="1"/>
    <x v="4"/>
  </r>
  <r>
    <x v="6"/>
    <x v="177"/>
    <s v="Sunday"/>
    <s v="Concert drinks and food"/>
    <n v="2526"/>
    <x v="1"/>
    <x v="5"/>
  </r>
  <r>
    <x v="6"/>
    <x v="177"/>
    <s v="Sunday"/>
    <s v="Burger"/>
    <n v="345"/>
    <x v="1"/>
    <x v="5"/>
  </r>
  <r>
    <x v="6"/>
    <x v="177"/>
    <s v="Sunday"/>
    <s v="Harley's"/>
    <n v="260"/>
    <x v="1"/>
    <x v="5"/>
  </r>
  <r>
    <x v="6"/>
    <x v="178"/>
    <s v="Monday"/>
    <s v="Mutual Funds"/>
    <n v="17000"/>
    <x v="2"/>
    <x v="13"/>
  </r>
  <r>
    <x v="6"/>
    <x v="179"/>
    <s v="Tuesday"/>
    <s v="Swiggy"/>
    <n v="1298"/>
    <x v="1"/>
    <x v="5"/>
  </r>
  <r>
    <x v="6"/>
    <x v="180"/>
    <s v="Wednesday"/>
    <s v="To Office"/>
    <n v="60"/>
    <x v="0"/>
    <x v="15"/>
  </r>
  <r>
    <x v="6"/>
    <x v="180"/>
    <s v="Wednesday"/>
    <s v="SmartQ"/>
    <n v="10"/>
    <x v="0"/>
    <x v="12"/>
  </r>
  <r>
    <x v="6"/>
    <x v="180"/>
    <s v="Wednesday"/>
    <s v="Swiggy"/>
    <n v="470"/>
    <x v="1"/>
    <x v="5"/>
  </r>
  <r>
    <x v="6"/>
    <x v="181"/>
    <s v="Thursday"/>
    <s v="To office"/>
    <n v="48"/>
    <x v="0"/>
    <x v="15"/>
  </r>
  <r>
    <x v="6"/>
    <x v="181"/>
    <s v="Thursday"/>
    <s v="SmartQ"/>
    <n v="87"/>
    <x v="0"/>
    <x v="12"/>
  </r>
  <r>
    <x v="6"/>
    <x v="181"/>
    <s v="Thursday"/>
    <s v="ud gaye"/>
    <n v="200"/>
    <x v="1"/>
    <x v="9"/>
  </r>
  <r>
    <x v="6"/>
    <x v="181"/>
    <s v="Thursday"/>
    <s v="Dinner"/>
    <n v="586"/>
    <x v="1"/>
    <x v="5"/>
  </r>
  <r>
    <x v="6"/>
    <x v="182"/>
    <s v="Friday"/>
    <s v="To office"/>
    <n v="39"/>
    <x v="1"/>
    <x v="5"/>
  </r>
  <r>
    <x v="6"/>
    <x v="182"/>
    <s v="Friday"/>
    <s v="Spotify"/>
    <n v="119"/>
    <x v="1"/>
    <x v="8"/>
  </r>
  <r>
    <x v="6"/>
    <x v="182"/>
    <s v="Friday"/>
    <s v="Fruits/Vegetables"/>
    <n v="350"/>
    <x v="0"/>
    <x v="6"/>
  </r>
  <r>
    <x v="6"/>
    <x v="182"/>
    <s v="Friday"/>
    <s v="To home"/>
    <n v="68"/>
    <x v="1"/>
    <x v="4"/>
  </r>
  <r>
    <x v="6"/>
    <x v="183"/>
    <s v="Saturday"/>
    <s v="Swiggy"/>
    <n v="328"/>
    <x v="1"/>
    <x v="5"/>
  </r>
  <r>
    <x v="6"/>
    <x v="183"/>
    <s v="Saturday"/>
    <s v="To raidurg"/>
    <n v="36"/>
    <x v="1"/>
    <x v="4"/>
  </r>
  <r>
    <x v="6"/>
    <x v="183"/>
    <s v="Saturday"/>
    <s v="Coffee"/>
    <n v="40"/>
    <x v="1"/>
    <x v="5"/>
  </r>
  <r>
    <x v="6"/>
    <x v="183"/>
    <s v="Saturday"/>
    <s v="Metro ticket"/>
    <n v="40"/>
    <x v="1"/>
    <x v="4"/>
  </r>
  <r>
    <x v="6"/>
    <x v="183"/>
    <s v="Saturday"/>
    <s v="Frankie/Samosa/Nachos"/>
    <n v="420"/>
    <x v="1"/>
    <x v="5"/>
  </r>
  <r>
    <x v="6"/>
    <x v="183"/>
    <s v="Saturday"/>
    <s v="Lunch @ Paradise"/>
    <n v="269"/>
    <x v="1"/>
    <x v="5"/>
  </r>
  <r>
    <x v="6"/>
    <x v="183"/>
    <s v="Saturday"/>
    <s v="Auto to Numaish"/>
    <n v="25"/>
    <x v="1"/>
    <x v="4"/>
  </r>
  <r>
    <x v="6"/>
    <x v="183"/>
    <s v="Saturday"/>
    <s v="numaish ticket"/>
    <n v="50"/>
    <x v="1"/>
    <x v="10"/>
  </r>
  <r>
    <x v="6"/>
    <x v="183"/>
    <s v="Saturday"/>
    <s v="sweet corn"/>
    <n v="50"/>
    <x v="1"/>
    <x v="5"/>
  </r>
  <r>
    <x v="6"/>
    <x v="183"/>
    <s v="Saturday"/>
    <s v="rides @ numaish"/>
    <n v="450"/>
    <x v="1"/>
    <x v="10"/>
  </r>
  <r>
    <x v="6"/>
    <x v="183"/>
    <s v="Saturday"/>
    <s v="ice cream/water"/>
    <n v="68"/>
    <x v="1"/>
    <x v="5"/>
  </r>
  <r>
    <x v="6"/>
    <x v="183"/>
    <s v="Saturday"/>
    <s v="Metro back"/>
    <n v="45"/>
    <x v="1"/>
    <x v="4"/>
  </r>
  <r>
    <x v="6"/>
    <x v="183"/>
    <s v="Saturday"/>
    <s v="juice @ metro"/>
    <n v="70"/>
    <x v="1"/>
    <x v="5"/>
  </r>
  <r>
    <x v="6"/>
    <x v="183"/>
    <s v="Saturday"/>
    <s v="bike to home"/>
    <n v="33"/>
    <x v="1"/>
    <x v="4"/>
  </r>
  <r>
    <x v="6"/>
    <x v="184"/>
    <s v="Sunday"/>
    <s v="Swiggy"/>
    <n v="600"/>
    <x v="1"/>
    <x v="5"/>
  </r>
  <r>
    <x v="6"/>
    <x v="184"/>
    <s v="Sunday"/>
    <s v="Zepto"/>
    <n v="200"/>
    <x v="1"/>
    <x v="5"/>
  </r>
  <r>
    <x v="6"/>
    <x v="184"/>
    <s v="Sunday"/>
    <s v="Zepto"/>
    <n v="477"/>
    <x v="0"/>
    <x v="6"/>
  </r>
  <r>
    <x v="6"/>
    <x v="185"/>
    <s v="Tuesday"/>
    <s v="chhaava ticket"/>
    <n v="266"/>
    <x v="1"/>
    <x v="10"/>
  </r>
  <r>
    <x v="6"/>
    <x v="185"/>
    <s v="Tuesday"/>
    <s v="swiggy"/>
    <n v="378"/>
    <x v="1"/>
    <x v="5"/>
  </r>
  <r>
    <x v="6"/>
    <x v="186"/>
    <s v="Wednesday"/>
    <s v="to office"/>
    <n v="40"/>
    <x v="0"/>
    <x v="15"/>
  </r>
  <r>
    <x v="6"/>
    <x v="186"/>
    <s v="Wednesday"/>
    <s v="SmartQ"/>
    <n v="105"/>
    <x v="0"/>
    <x v="12"/>
  </r>
  <r>
    <x v="6"/>
    <x v="186"/>
    <s v="Wednesday"/>
    <s v="Coffee"/>
    <n v="50"/>
    <x v="0"/>
    <x v="12"/>
  </r>
  <r>
    <x v="6"/>
    <x v="186"/>
    <s v="Wednesday"/>
    <s v="1 year party XD"/>
    <n v="905"/>
    <x v="1"/>
    <x v="2"/>
  </r>
  <r>
    <x v="6"/>
    <x v="186"/>
    <s v="Wednesday"/>
    <s v="Swiggy"/>
    <n v="711"/>
    <x v="1"/>
    <x v="5"/>
  </r>
  <r>
    <x v="6"/>
    <x v="187"/>
    <s v="Thursday"/>
    <s v="Jio Cinema"/>
    <n v="29"/>
    <x v="1"/>
    <x v="8"/>
  </r>
  <r>
    <x v="6"/>
    <x v="187"/>
    <s v="Thursday"/>
    <s v="To office"/>
    <n v="40"/>
    <x v="0"/>
    <x v="15"/>
  </r>
  <r>
    <x v="6"/>
    <x v="187"/>
    <s v="Thursday"/>
    <s v="SmartQ"/>
    <n v="195"/>
    <x v="0"/>
    <x v="12"/>
  </r>
  <r>
    <x v="6"/>
    <x v="187"/>
    <s v="Thursday"/>
    <s v="Coffee"/>
    <n v="70"/>
    <x v="0"/>
    <x v="12"/>
  </r>
  <r>
    <x v="6"/>
    <x v="187"/>
    <s v="Thursday"/>
    <s v="SmartQ"/>
    <n v="110"/>
    <x v="0"/>
    <x v="12"/>
  </r>
  <r>
    <x v="6"/>
    <x v="188"/>
    <s v="Friday"/>
    <s v="to office"/>
    <n v="50"/>
    <x v="0"/>
    <x v="15"/>
  </r>
  <r>
    <x v="6"/>
    <x v="189"/>
    <s v="Saturday"/>
    <s v="Swiggy"/>
    <n v="464"/>
    <x v="1"/>
    <x v="5"/>
  </r>
  <r>
    <x v="6"/>
    <x v="190"/>
    <s v="Sunday"/>
    <s v="Prawn curry ingredients"/>
    <n v="753"/>
    <x v="0"/>
    <x v="6"/>
  </r>
  <r>
    <x v="6"/>
    <x v="190"/>
    <s v="Sunday"/>
    <s v="Auto to sarath city"/>
    <n v="45"/>
    <x v="1"/>
    <x v="4"/>
  </r>
  <r>
    <x v="6"/>
    <x v="190"/>
    <s v="Sunday"/>
    <s v="Dinner"/>
    <n v="431"/>
    <x v="1"/>
    <x v="5"/>
  </r>
  <r>
    <x v="6"/>
    <x v="190"/>
    <s v="Sunday"/>
    <s v="auto to home"/>
    <n v="45"/>
    <x v="1"/>
    <x v="4"/>
  </r>
  <r>
    <x v="6"/>
    <x v="191"/>
    <s v="Monday"/>
    <s v="To office"/>
    <n v="44"/>
    <x v="0"/>
    <x v="15"/>
  </r>
  <r>
    <x v="6"/>
    <x v="192"/>
    <s v="Tuesday"/>
    <s v="To office"/>
    <n v="45"/>
    <x v="0"/>
    <x v="15"/>
  </r>
  <r>
    <x v="6"/>
    <x v="192"/>
    <s v="Tuesday"/>
    <s v="SmartQ"/>
    <n v="77"/>
    <x v="0"/>
    <x v="12"/>
  </r>
  <r>
    <x v="6"/>
    <x v="192"/>
    <s v="Tuesday"/>
    <s v="Zepto"/>
    <n v="700"/>
    <x v="1"/>
    <x v="5"/>
  </r>
  <r>
    <x v="6"/>
    <x v="193"/>
    <s v="Wednesday"/>
    <s v="To office"/>
    <n v="30"/>
    <x v="0"/>
    <x v="15"/>
  </r>
  <r>
    <x v="6"/>
    <x v="193"/>
    <s v="Wednesday"/>
    <s v="Coffee"/>
    <n v="30"/>
    <x v="0"/>
    <x v="12"/>
  </r>
  <r>
    <x v="6"/>
    <x v="194"/>
    <s v="Thursday"/>
    <s v="idk"/>
    <n v="60"/>
    <x v="1"/>
    <x v="9"/>
  </r>
  <r>
    <x v="6"/>
    <x v="194"/>
    <s v="Thursday"/>
    <s v="To office"/>
    <n v="30"/>
    <x v="0"/>
    <x v="15"/>
  </r>
  <r>
    <x v="6"/>
    <x v="194"/>
    <s v="Thursday"/>
    <s v="Papa bday cake"/>
    <n v="1370"/>
    <x v="1"/>
    <x v="2"/>
  </r>
  <r>
    <x v="6"/>
    <x v="195"/>
    <s v="Friday"/>
    <s v="Zepto"/>
    <n v="185"/>
    <x v="1"/>
    <x v="5"/>
  </r>
  <r>
    <x v="6"/>
    <x v="195"/>
    <s v="Friday"/>
    <s v="To office"/>
    <n v="55"/>
    <x v="0"/>
    <x v="15"/>
  </r>
  <r>
    <x v="6"/>
    <x v="195"/>
    <s v="Friday"/>
    <s v="Netflix"/>
    <n v="199"/>
    <x v="1"/>
    <x v="8"/>
  </r>
  <r>
    <x v="6"/>
    <x v="195"/>
    <s v="Friday"/>
    <s v="Avocados"/>
    <n v="210"/>
    <x v="1"/>
    <x v="5"/>
  </r>
  <r>
    <x v="6"/>
    <x v="195"/>
    <s v="Friday"/>
    <s v="Coconut Water"/>
    <n v="180"/>
    <x v="1"/>
    <x v="5"/>
  </r>
  <r>
    <x v="6"/>
    <x v="195"/>
    <s v="Friday"/>
    <s v="idk"/>
    <n v="30"/>
    <x v="1"/>
    <x v="9"/>
  </r>
  <r>
    <x v="6"/>
    <x v="195"/>
    <s v="Friday"/>
    <s v="To home"/>
    <n v="31"/>
    <x v="0"/>
    <x v="15"/>
  </r>
  <r>
    <x v="6"/>
    <x v="195"/>
    <s v="Friday"/>
    <s v="Swiggy"/>
    <n v="524"/>
    <x v="1"/>
    <x v="5"/>
  </r>
  <r>
    <x v="6"/>
    <x v="196"/>
    <s v="Sunday"/>
    <s v="Swiggy"/>
    <n v="566"/>
    <x v="1"/>
    <x v="5"/>
  </r>
  <r>
    <x v="6"/>
    <x v="197"/>
    <s v="Monday"/>
    <s v="Zepto"/>
    <n v="204"/>
    <x v="1"/>
    <x v="5"/>
  </r>
  <r>
    <x v="6"/>
    <x v="197"/>
    <s v="Monday"/>
    <s v="To office"/>
    <n v="30"/>
    <x v="0"/>
    <x v="15"/>
  </r>
  <r>
    <x v="6"/>
    <x v="197"/>
    <s v="Monday"/>
    <s v="coffee"/>
    <n v="42"/>
    <x v="0"/>
    <x v="12"/>
  </r>
  <r>
    <x v="6"/>
    <x v="197"/>
    <s v="Monday"/>
    <s v="to home"/>
    <n v="35"/>
    <x v="0"/>
    <x v="15"/>
  </r>
  <r>
    <x v="6"/>
    <x v="198"/>
    <s v="Tuesday"/>
    <s v="to office"/>
    <n v="55"/>
    <x v="0"/>
    <x v="15"/>
  </r>
  <r>
    <x v="6"/>
    <x v="198"/>
    <s v="Tuesday"/>
    <s v="captain america ticket (didn't even go :()"/>
    <n v="470"/>
    <x v="1"/>
    <x v="9"/>
  </r>
  <r>
    <x v="6"/>
    <x v="198"/>
    <s v="Tuesday"/>
    <s v="SmartQ"/>
    <n v="90"/>
    <x v="0"/>
    <x v="12"/>
  </r>
  <r>
    <x v="6"/>
    <x v="198"/>
    <s v="Tuesday"/>
    <s v="coffee"/>
    <n v="30"/>
    <x v="0"/>
    <x v="12"/>
  </r>
  <r>
    <x v="6"/>
    <x v="198"/>
    <s v="Tuesday"/>
    <s v="to home"/>
    <n v="30"/>
    <x v="0"/>
    <x v="15"/>
  </r>
  <r>
    <x v="6"/>
    <x v="198"/>
    <s v="Tuesday"/>
    <s v="swiggy"/>
    <n v="465"/>
    <x v="1"/>
    <x v="5"/>
  </r>
  <r>
    <x v="6"/>
    <x v="199"/>
    <s v="Wednesday"/>
    <s v="zepto"/>
    <n v="248"/>
    <x v="1"/>
    <x v="5"/>
  </r>
  <r>
    <x v="6"/>
    <x v="199"/>
    <s v="Wednesday"/>
    <s v="airtel"/>
    <n v="628"/>
    <x v="0"/>
    <x v="14"/>
  </r>
  <r>
    <x v="6"/>
    <x v="199"/>
    <s v="Wednesday"/>
    <s v="prime"/>
    <n v="1400"/>
    <x v="1"/>
    <x v="8"/>
  </r>
  <r>
    <x v="6"/>
    <x v="199"/>
    <s v="Wednesday"/>
    <s v="to office"/>
    <n v="45"/>
    <x v="0"/>
    <x v="15"/>
  </r>
  <r>
    <x v="6"/>
    <x v="199"/>
    <s v="Wednesday"/>
    <s v="samosa"/>
    <n v="82"/>
    <x v="1"/>
    <x v="5"/>
  </r>
  <r>
    <x v="6"/>
    <x v="199"/>
    <s v="Wednesday"/>
    <s v="to home"/>
    <n v="40"/>
    <x v="0"/>
    <x v="15"/>
  </r>
  <r>
    <x v="6"/>
    <x v="200"/>
    <s v="Thursday"/>
    <s v="stocks"/>
    <n v="20000"/>
    <x v="2"/>
    <x v="16"/>
  </r>
  <r>
    <x v="6"/>
    <x v="200"/>
    <s v="Thursday"/>
    <s v="swiggy"/>
    <n v="1088"/>
    <x v="1"/>
    <x v="5"/>
  </r>
  <r>
    <x v="6"/>
    <x v="200"/>
    <s v="Thursday"/>
    <s v="zepto"/>
    <n v="435"/>
    <x v="1"/>
    <x v="5"/>
  </r>
  <r>
    <x v="6"/>
    <x v="201"/>
    <s v="Friday"/>
    <s v="to office"/>
    <n v="42"/>
    <x v="0"/>
    <x v="15"/>
  </r>
  <r>
    <x v="6"/>
    <x v="201"/>
    <s v="Friday"/>
    <s v="coffee"/>
    <n v="30"/>
    <x v="0"/>
    <x v="12"/>
  </r>
  <r>
    <x v="6"/>
    <x v="201"/>
    <s v="Friday"/>
    <s v="smartQ"/>
    <n v="119"/>
    <x v="0"/>
    <x v="12"/>
  </r>
  <r>
    <x v="6"/>
    <x v="201"/>
    <s v="Friday"/>
    <s v="smartQ"/>
    <n v="40"/>
    <x v="0"/>
    <x v="12"/>
  </r>
  <r>
    <x v="6"/>
    <x v="201"/>
    <s v="Friday"/>
    <s v="to home"/>
    <n v="26"/>
    <x v="0"/>
    <x v="15"/>
  </r>
  <r>
    <x v="7"/>
    <x v="202"/>
    <s v="Saturday"/>
    <s v="Rent+Maintenance"/>
    <n v="20666.666666666668"/>
    <x v="0"/>
    <x v="1"/>
  </r>
  <r>
    <x v="7"/>
    <x v="202"/>
    <s v="Saturday"/>
    <s v="mouse+stand"/>
    <n v="950"/>
    <x v="1"/>
    <x v="9"/>
  </r>
  <r>
    <x v="7"/>
    <x v="202"/>
    <s v="Saturday"/>
    <s v="cook"/>
    <n v="2000"/>
    <x v="0"/>
    <x v="20"/>
  </r>
  <r>
    <x v="7"/>
    <x v="202"/>
    <s v="Saturday"/>
    <s v="zepto"/>
    <n v="185"/>
    <x v="1"/>
    <x v="5"/>
  </r>
  <r>
    <x v="7"/>
    <x v="203"/>
    <s v="Sunday"/>
    <s v="cab to restaurant"/>
    <n v="146"/>
    <x v="1"/>
    <x v="4"/>
  </r>
  <r>
    <x v="7"/>
    <x v="203"/>
    <s v="Sunday"/>
    <s v="cab home"/>
    <n v="120"/>
    <x v="1"/>
    <x v="4"/>
  </r>
  <r>
    <x v="7"/>
    <x v="204"/>
    <s v="Monday"/>
    <s v="Mutual Funds"/>
    <n v="20000"/>
    <x v="2"/>
    <x v="13"/>
  </r>
  <r>
    <x v="7"/>
    <x v="204"/>
    <s v="Monday"/>
    <s v="swiggy"/>
    <n v="468"/>
    <x v="1"/>
    <x v="5"/>
  </r>
  <r>
    <x v="7"/>
    <x v="204"/>
    <s v="Monday"/>
    <s v="zepto"/>
    <n v="327"/>
    <x v="1"/>
    <x v="5"/>
  </r>
  <r>
    <x v="7"/>
    <x v="205"/>
    <s v="Wednesday"/>
    <s v="to office"/>
    <n v="55"/>
    <x v="0"/>
    <x v="15"/>
  </r>
  <r>
    <x v="7"/>
    <x v="205"/>
    <s v="Wednesday"/>
    <s v="smartQ"/>
    <n v="130"/>
    <x v="0"/>
    <x v="12"/>
  </r>
  <r>
    <x v="7"/>
    <x v="205"/>
    <s v="Wednesday"/>
    <s v="to home"/>
    <n v="32"/>
    <x v="0"/>
    <x v="15"/>
  </r>
  <r>
    <x v="7"/>
    <x v="206"/>
    <s v="Thursday"/>
    <s v="to office"/>
    <n v="60"/>
    <x v="0"/>
    <x v="15"/>
  </r>
  <r>
    <x v="7"/>
    <x v="206"/>
    <s v="Thursday"/>
    <s v="smartQ"/>
    <n v="119"/>
    <x v="0"/>
    <x v="12"/>
  </r>
  <r>
    <x v="7"/>
    <x v="206"/>
    <s v="Thursday"/>
    <s v="haleem"/>
    <n v="220"/>
    <x v="1"/>
    <x v="5"/>
  </r>
  <r>
    <x v="7"/>
    <x v="206"/>
    <s v="Thursday"/>
    <s v="to home"/>
    <n v="45"/>
    <x v="0"/>
    <x v="15"/>
  </r>
  <r>
    <x v="7"/>
    <x v="207"/>
    <s v="Friday"/>
    <s v="zepto"/>
    <n v="302"/>
    <x v="1"/>
    <x v="5"/>
  </r>
  <r>
    <x v="7"/>
    <x v="207"/>
    <s v="Friday"/>
    <s v="spotify"/>
    <n v="119"/>
    <x v="1"/>
    <x v="8"/>
  </r>
  <r>
    <x v="7"/>
    <x v="207"/>
    <s v="Friday"/>
    <s v="to office"/>
    <n v="62"/>
    <x v="0"/>
    <x v="15"/>
  </r>
  <r>
    <x v="7"/>
    <x v="207"/>
    <s v="Friday"/>
    <s v="smartQ"/>
    <n v="119"/>
    <x v="0"/>
    <x v="12"/>
  </r>
  <r>
    <x v="7"/>
    <x v="207"/>
    <s v="Friday"/>
    <s v="haleem"/>
    <n v="290"/>
    <x v="1"/>
    <x v="5"/>
  </r>
  <r>
    <x v="7"/>
    <x v="207"/>
    <s v="Friday"/>
    <s v="to home"/>
    <n v="33"/>
    <x v="0"/>
    <x v="15"/>
  </r>
  <r>
    <x v="7"/>
    <x v="208"/>
    <s v="Sunday"/>
    <s v="to mall"/>
    <n v="62"/>
    <x v="1"/>
    <x v="4"/>
  </r>
  <r>
    <x v="7"/>
    <x v="208"/>
    <s v="Sunday"/>
    <s v="lunch"/>
    <n v="250"/>
    <x v="1"/>
    <x v="5"/>
  </r>
  <r>
    <x v="7"/>
    <x v="208"/>
    <s v="Sunday"/>
    <s v="Laptop"/>
    <n v="96834"/>
    <x v="1"/>
    <x v="9"/>
  </r>
  <r>
    <x v="7"/>
    <x v="208"/>
    <s v="Sunday"/>
    <s v="steam giftcard"/>
    <n v="5000"/>
    <x v="1"/>
    <x v="9"/>
  </r>
  <r>
    <x v="7"/>
    <x v="208"/>
    <s v="Sunday"/>
    <s v="to rishwith's apartment"/>
    <n v="63"/>
    <x v="1"/>
    <x v="4"/>
  </r>
  <r>
    <x v="7"/>
    <x v="209"/>
    <s v="Monday"/>
    <s v="zepto"/>
    <n v="229"/>
    <x v="1"/>
    <x v="5"/>
  </r>
  <r>
    <x v="7"/>
    <x v="209"/>
    <s v="Monday"/>
    <s v="swiggy"/>
    <n v="544"/>
    <x v="1"/>
    <x v="5"/>
  </r>
  <r>
    <x v="7"/>
    <x v="210"/>
    <s v="Tuesday"/>
    <s v="to office"/>
    <n v="60"/>
    <x v="0"/>
    <x v="15"/>
  </r>
  <r>
    <x v="7"/>
    <x v="210"/>
    <s v="Tuesday"/>
    <s v="Biriyani's and More"/>
    <n v="848"/>
    <x v="1"/>
    <x v="5"/>
  </r>
  <r>
    <x v="7"/>
    <x v="211"/>
    <s v="Wednesday"/>
    <s v="to office"/>
    <n v="50"/>
    <x v="0"/>
    <x v="15"/>
  </r>
  <r>
    <x v="7"/>
    <x v="211"/>
    <s v="Wednesday"/>
    <s v="dinner w avara log"/>
    <n v="389.33333333333331"/>
    <x v="1"/>
    <x v="5"/>
  </r>
  <r>
    <x v="7"/>
    <x v="211"/>
    <s v="Wednesday"/>
    <s v="to home"/>
    <n v="40"/>
    <x v="0"/>
    <x v="15"/>
  </r>
  <r>
    <x v="7"/>
    <x v="212"/>
    <s v="Thursday"/>
    <s v="To office"/>
    <n v="60"/>
    <x v="0"/>
    <x v="15"/>
  </r>
  <r>
    <x v="7"/>
    <x v="212"/>
    <s v="Thursday"/>
    <s v="SmartQ"/>
    <n v="90"/>
    <x v="0"/>
    <x v="12"/>
  </r>
  <r>
    <x v="7"/>
    <x v="212"/>
    <s v="Thursday"/>
    <s v="Zepto"/>
    <n v="393"/>
    <x v="1"/>
    <x v="5"/>
  </r>
  <r>
    <x v="7"/>
    <x v="213"/>
    <s v="Friday"/>
    <s v="Dropout Membership"/>
    <n v="159"/>
    <x v="1"/>
    <x v="8"/>
  </r>
  <r>
    <x v="7"/>
    <x v="213"/>
    <s v="Friday"/>
    <s v="Swiggy"/>
    <n v="1422"/>
    <x v="1"/>
    <x v="5"/>
  </r>
  <r>
    <x v="7"/>
    <x v="214"/>
    <s v="Saturday"/>
    <s v="Zepto"/>
    <n v="297"/>
    <x v="1"/>
    <x v="5"/>
  </r>
  <r>
    <x v="7"/>
    <x v="214"/>
    <s v="Saturday"/>
    <s v="to rishwith's apartment"/>
    <n v="62"/>
    <x v="1"/>
    <x v="4"/>
  </r>
  <r>
    <x v="7"/>
    <x v="214"/>
    <s v="Saturday"/>
    <s v="Food + soft drinks"/>
    <n v="280.57"/>
    <x v="1"/>
    <x v="5"/>
  </r>
  <r>
    <x v="7"/>
    <x v="214"/>
    <s v="Saturday"/>
    <s v="drinks"/>
    <n v="810"/>
    <x v="1"/>
    <x v="5"/>
  </r>
  <r>
    <x v="7"/>
    <x v="215"/>
    <s v="Sunday"/>
    <s v="Coconut Water"/>
    <n v="100"/>
    <x v="1"/>
    <x v="5"/>
  </r>
  <r>
    <x v="7"/>
    <x v="215"/>
    <s v="Sunday"/>
    <s v="To home"/>
    <n v="60"/>
    <x v="1"/>
    <x v="4"/>
  </r>
  <r>
    <x v="7"/>
    <x v="216"/>
    <s v="Monday"/>
    <s v="To office"/>
    <n v="50"/>
    <x v="0"/>
    <x v="15"/>
  </r>
  <r>
    <x v="7"/>
    <x v="216"/>
    <s v="Monday"/>
    <s v="smartQ"/>
    <n v="55"/>
    <x v="0"/>
    <x v="12"/>
  </r>
  <r>
    <x v="7"/>
    <x v="216"/>
    <s v="Monday"/>
    <s v="swiggy"/>
    <n v="658"/>
    <x v="1"/>
    <x v="5"/>
  </r>
  <r>
    <x v="7"/>
    <x v="216"/>
    <s v="Monday"/>
    <s v="to home"/>
    <n v="30"/>
    <x v="0"/>
    <x v="15"/>
  </r>
  <r>
    <x v="7"/>
    <x v="216"/>
    <s v="Monday"/>
    <s v="zepto"/>
    <n v="267"/>
    <x v="1"/>
    <x v="5"/>
  </r>
  <r>
    <x v="7"/>
    <x v="217"/>
    <s v="Tuesday"/>
    <s v="to office"/>
    <n v="60"/>
    <x v="0"/>
    <x v="15"/>
  </r>
  <r>
    <x v="7"/>
    <x v="217"/>
    <s v="Tuesday"/>
    <s v="smartQ"/>
    <n v="180"/>
    <x v="0"/>
    <x v="12"/>
  </r>
  <r>
    <x v="7"/>
    <x v="217"/>
    <s v="Tuesday"/>
    <s v="coffee"/>
    <n v="70"/>
    <x v="1"/>
    <x v="5"/>
  </r>
  <r>
    <x v="7"/>
    <x v="218"/>
    <s v="Wednesday"/>
    <s v="to office"/>
    <n v="60"/>
    <x v="0"/>
    <x v="15"/>
  </r>
  <r>
    <x v="7"/>
    <x v="218"/>
    <s v="Wednesday"/>
    <s v="to restaurant"/>
    <n v="35"/>
    <x v="1"/>
    <x v="4"/>
  </r>
  <r>
    <x v="7"/>
    <x v="218"/>
    <s v="Wednesday"/>
    <s v="to home"/>
    <n v="54"/>
    <x v="1"/>
    <x v="4"/>
  </r>
  <r>
    <x v="7"/>
    <x v="219"/>
    <s v="Thursday"/>
    <s v="to eye doctor"/>
    <n v="35"/>
    <x v="1"/>
    <x v="4"/>
  </r>
  <r>
    <x v="7"/>
    <x v="219"/>
    <s v="Thursday"/>
    <s v="Biriyani's and more"/>
    <n v="278"/>
    <x v="1"/>
    <x v="5"/>
  </r>
  <r>
    <x v="7"/>
    <x v="219"/>
    <s v="Thursday"/>
    <s v="to home"/>
    <n v="35"/>
    <x v="1"/>
    <x v="4"/>
  </r>
  <r>
    <x v="7"/>
    <x v="220"/>
    <s v="Friday"/>
    <s v="hassan dairy"/>
    <n v="70"/>
    <x v="1"/>
    <x v="5"/>
  </r>
  <r>
    <x v="7"/>
    <x v="220"/>
    <s v="Friday"/>
    <s v="ice cream"/>
    <n v="70"/>
    <x v="1"/>
    <x v="5"/>
  </r>
  <r>
    <x v="7"/>
    <x v="220"/>
    <s v="Friday"/>
    <s v="to home"/>
    <n v="40"/>
    <x v="1"/>
    <x v="4"/>
  </r>
  <r>
    <x v="7"/>
    <x v="221"/>
    <s v="Saturday"/>
    <s v="netflix"/>
    <n v="199"/>
    <x v="1"/>
    <x v="8"/>
  </r>
  <r>
    <x v="7"/>
    <x v="221"/>
    <s v="Saturday"/>
    <s v="fruits by LP"/>
    <n v="140"/>
    <x v="0"/>
    <x v="6"/>
  </r>
  <r>
    <x v="7"/>
    <x v="221"/>
    <s v="Saturday"/>
    <s v="hackathon lunch"/>
    <n v="256"/>
    <x v="1"/>
    <x v="5"/>
  </r>
  <r>
    <x v="7"/>
    <x v="222"/>
    <s v="Sunday"/>
    <s v="to pista house"/>
    <n v="85"/>
    <x v="1"/>
    <x v="4"/>
  </r>
  <r>
    <x v="7"/>
    <x v="222"/>
    <s v="Sunday"/>
    <s v="pista house food"/>
    <m/>
    <x v="1"/>
    <x v="5"/>
  </r>
  <r>
    <x v="7"/>
    <x v="222"/>
    <s v="Sunday"/>
    <s v="to home"/>
    <n v="80"/>
    <x v="1"/>
    <x v="4"/>
  </r>
  <r>
    <x v="7"/>
    <x v="222"/>
    <s v="Sunday"/>
    <s v="haircut"/>
    <n v="220"/>
    <x v="0"/>
    <x v="11"/>
  </r>
  <r>
    <x v="7"/>
    <x v="222"/>
    <s v="Sunday"/>
    <s v="H&amp;M"/>
    <n v="2145"/>
    <x v="1"/>
    <x v="3"/>
  </r>
  <r>
    <x v="7"/>
    <x v="223"/>
    <s v="Monday"/>
    <s v="to office"/>
    <n v="100"/>
    <x v="0"/>
    <x v="15"/>
  </r>
  <r>
    <x v="7"/>
    <x v="223"/>
    <s v="Monday"/>
    <s v="to home"/>
    <n v="41"/>
    <x v="0"/>
    <x v="15"/>
  </r>
  <r>
    <x v="7"/>
    <x v="224"/>
    <s v="Tuesday"/>
    <s v="zepto"/>
    <n v="378"/>
    <x v="1"/>
    <x v="5"/>
  </r>
  <r>
    <x v="7"/>
    <x v="224"/>
    <s v="Tuesday"/>
    <s v="to office"/>
    <n v="65"/>
    <x v="0"/>
    <x v="15"/>
  </r>
  <r>
    <x v="7"/>
    <x v="224"/>
    <s v="Tuesday"/>
    <s v="smartQ"/>
    <n v="136"/>
    <x v="0"/>
    <x v="12"/>
  </r>
  <r>
    <x v="7"/>
    <x v="225"/>
    <s v="Wednesday"/>
    <s v="to office"/>
    <n v="73"/>
    <x v="0"/>
    <x v="15"/>
  </r>
  <r>
    <x v="7"/>
    <x v="225"/>
    <s v="Wednesday"/>
    <s v="smartQ"/>
    <n v="130"/>
    <x v="0"/>
    <x v="12"/>
  </r>
  <r>
    <x v="7"/>
    <x v="225"/>
    <s v="Wednesday"/>
    <s v="swiggy"/>
    <n v="491"/>
    <x v="1"/>
    <x v="5"/>
  </r>
  <r>
    <x v="7"/>
    <x v="226"/>
    <s v="Thursday"/>
    <s v="zepto"/>
    <n v="187"/>
    <x v="1"/>
    <x v="5"/>
  </r>
  <r>
    <x v="7"/>
    <x v="226"/>
    <s v="Thursday"/>
    <s v="swiggy"/>
    <n v="578"/>
    <x v="1"/>
    <x v="5"/>
  </r>
  <r>
    <x v="7"/>
    <x v="226"/>
    <s v="Thursday"/>
    <s v="to lenskart"/>
    <n v="33.333333333333336"/>
    <x v="1"/>
    <x v="4"/>
  </r>
  <r>
    <x v="7"/>
    <x v="226"/>
    <s v="Thursday"/>
    <s v="to pg"/>
    <n v="34"/>
    <x v="1"/>
    <x v="4"/>
  </r>
  <r>
    <x v="7"/>
    <x v="226"/>
    <s v="Thursday"/>
    <s v="icecream"/>
    <n v="40"/>
    <x v="1"/>
    <x v="5"/>
  </r>
  <r>
    <x v="7"/>
    <x v="227"/>
    <s v="Friday"/>
    <s v="lenskart frames payment"/>
    <n v="5260"/>
    <x v="1"/>
    <x v="9"/>
  </r>
  <r>
    <x v="7"/>
    <x v="227"/>
    <s v="Friday"/>
    <s v="to office"/>
    <n v="55"/>
    <x v="0"/>
    <x v="15"/>
  </r>
  <r>
    <x v="7"/>
    <x v="227"/>
    <s v="Friday"/>
    <s v="smartQ"/>
    <n v="423"/>
    <x v="0"/>
    <x v="12"/>
  </r>
  <r>
    <x v="7"/>
    <x v="227"/>
    <s v="Friday"/>
    <s v="icecream"/>
    <n v="40"/>
    <x v="1"/>
    <x v="5"/>
  </r>
  <r>
    <x v="7"/>
    <x v="228"/>
    <s v="Saturday"/>
    <s v="to bookstore"/>
    <m/>
    <x v="3"/>
    <x v="21"/>
  </r>
  <r>
    <x v="7"/>
    <x v="228"/>
    <s v="Saturday"/>
    <s v="books"/>
    <m/>
    <x v="3"/>
    <x v="21"/>
  </r>
  <r>
    <x v="7"/>
    <x v="228"/>
    <s v="Saturday"/>
    <s v="food"/>
    <m/>
    <x v="3"/>
    <x v="21"/>
  </r>
  <r>
    <x v="7"/>
    <x v="228"/>
    <s v="Saturday"/>
    <s v="to home"/>
    <m/>
    <x v="3"/>
    <x v="21"/>
  </r>
  <r>
    <x v="7"/>
    <x v="229"/>
    <s v="Sun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9F391-F20B-4088-A4E2-BE26B63D0F5B}"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W13" firstHeaderRow="1" firstDataRow="2" firstDataCol="1"/>
  <pivotFields count="7">
    <pivotField axis="axisRow" showAll="0">
      <items count="17">
        <item h="1" m="1" x="10"/>
        <item h="1" m="1" x="11"/>
        <item h="1" m="1" x="12"/>
        <item h="1" x="9"/>
        <item h="1" m="1" x="13"/>
        <item h="1" m="1" x="14"/>
        <item h="1" m="1" x="15"/>
        <item x="0"/>
        <item x="1"/>
        <item x="2"/>
        <item x="3"/>
        <item x="4"/>
        <item x="5"/>
        <item x="6"/>
        <item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showAll="0">
      <items count="6">
        <item x="2"/>
        <item x="0"/>
        <item x="1"/>
        <item h="1" x="3"/>
        <item x="4"/>
        <item t="default"/>
      </items>
    </pivotField>
    <pivotField axis="axisCol" showAll="0">
      <items count="23">
        <item x="11"/>
        <item x="3"/>
        <item x="5"/>
        <item x="2"/>
        <item x="10"/>
        <item x="6"/>
        <item x="17"/>
        <item x="13"/>
        <item x="14"/>
        <item x="12"/>
        <item x="15"/>
        <item x="1"/>
        <item x="16"/>
        <item x="8"/>
        <item x="4"/>
        <item x="0"/>
        <item x="9"/>
        <item x="7"/>
        <item x="21"/>
        <item x="18"/>
        <item x="19"/>
        <item x="20"/>
        <item t="default"/>
      </items>
    </pivotField>
  </pivotFields>
  <rowFields count="1">
    <field x="0"/>
  </rowFields>
  <rowItems count="9">
    <i>
      <x v="7"/>
    </i>
    <i>
      <x v="8"/>
    </i>
    <i>
      <x v="9"/>
    </i>
    <i>
      <x v="10"/>
    </i>
    <i>
      <x v="11"/>
    </i>
    <i>
      <x v="12"/>
    </i>
    <i>
      <x v="13"/>
    </i>
    <i>
      <x v="14"/>
    </i>
    <i t="grand">
      <x/>
    </i>
  </rowItems>
  <colFields count="1">
    <field x="6"/>
  </colFields>
  <colItems count="22">
    <i>
      <x/>
    </i>
    <i>
      <x v="1"/>
    </i>
    <i>
      <x v="2"/>
    </i>
    <i>
      <x v="3"/>
    </i>
    <i>
      <x v="4"/>
    </i>
    <i>
      <x v="5"/>
    </i>
    <i>
      <x v="6"/>
    </i>
    <i>
      <x v="7"/>
    </i>
    <i>
      <x v="8"/>
    </i>
    <i>
      <x v="9"/>
    </i>
    <i>
      <x v="10"/>
    </i>
    <i>
      <x v="11"/>
    </i>
    <i>
      <x v="12"/>
    </i>
    <i>
      <x v="13"/>
    </i>
    <i>
      <x v="14"/>
    </i>
    <i>
      <x v="15"/>
    </i>
    <i>
      <x v="16"/>
    </i>
    <i>
      <x v="17"/>
    </i>
    <i>
      <x v="19"/>
    </i>
    <i>
      <x v="20"/>
    </i>
    <i>
      <x v="21"/>
    </i>
    <i t="grand">
      <x/>
    </i>
  </colItems>
  <dataFields count="1">
    <dataField name="Sum of Amount" fld="4" baseField="0" baseItem="0"/>
  </dataFields>
  <chartFormats count="45">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4" format="169" series="1">
      <pivotArea type="data" outline="0" fieldPosition="0">
        <references count="2">
          <reference field="4294967294" count="1" selected="0">
            <x v="0"/>
          </reference>
          <reference field="6" count="1" selected="0">
            <x v="19"/>
          </reference>
        </references>
      </pivotArea>
    </chartFormat>
    <chartFormat chart="13" format="170" series="1">
      <pivotArea type="data" outline="0" fieldPosition="0">
        <references count="2">
          <reference field="4294967294" count="1" selected="0">
            <x v="0"/>
          </reference>
          <reference field="6" count="1" selected="0">
            <x v="0"/>
          </reference>
        </references>
      </pivotArea>
    </chartFormat>
    <chartFormat chart="13" format="171" series="1">
      <pivotArea type="data" outline="0" fieldPosition="0">
        <references count="2">
          <reference field="4294967294" count="1" selected="0">
            <x v="0"/>
          </reference>
          <reference field="6" count="1" selected="0">
            <x v="1"/>
          </reference>
        </references>
      </pivotArea>
    </chartFormat>
    <chartFormat chart="13" format="172" series="1">
      <pivotArea type="data" outline="0" fieldPosition="0">
        <references count="2">
          <reference field="4294967294" count="1" selected="0">
            <x v="0"/>
          </reference>
          <reference field="6" count="1" selected="0">
            <x v="2"/>
          </reference>
        </references>
      </pivotArea>
    </chartFormat>
    <chartFormat chart="13" format="173" series="1">
      <pivotArea type="data" outline="0" fieldPosition="0">
        <references count="2">
          <reference field="4294967294" count="1" selected="0">
            <x v="0"/>
          </reference>
          <reference field="6" count="1" selected="0">
            <x v="3"/>
          </reference>
        </references>
      </pivotArea>
    </chartFormat>
    <chartFormat chart="13" format="174" series="1">
      <pivotArea type="data" outline="0" fieldPosition="0">
        <references count="2">
          <reference field="4294967294" count="1" selected="0">
            <x v="0"/>
          </reference>
          <reference field="6" count="1" selected="0">
            <x v="4"/>
          </reference>
        </references>
      </pivotArea>
    </chartFormat>
    <chartFormat chart="13" format="175" series="1">
      <pivotArea type="data" outline="0" fieldPosition="0">
        <references count="2">
          <reference field="4294967294" count="1" selected="0">
            <x v="0"/>
          </reference>
          <reference field="6" count="1" selected="0">
            <x v="5"/>
          </reference>
        </references>
      </pivotArea>
    </chartFormat>
    <chartFormat chart="13" format="176" series="1">
      <pivotArea type="data" outline="0" fieldPosition="0">
        <references count="2">
          <reference field="4294967294" count="1" selected="0">
            <x v="0"/>
          </reference>
          <reference field="6" count="1" selected="0">
            <x v="6"/>
          </reference>
        </references>
      </pivotArea>
    </chartFormat>
    <chartFormat chart="13" format="177" series="1">
      <pivotArea type="data" outline="0" fieldPosition="0">
        <references count="2">
          <reference field="4294967294" count="1" selected="0">
            <x v="0"/>
          </reference>
          <reference field="6" count="1" selected="0">
            <x v="7"/>
          </reference>
        </references>
      </pivotArea>
    </chartFormat>
    <chartFormat chart="13" format="178" series="1">
      <pivotArea type="data" outline="0" fieldPosition="0">
        <references count="2">
          <reference field="4294967294" count="1" selected="0">
            <x v="0"/>
          </reference>
          <reference field="6" count="1" selected="0">
            <x v="8"/>
          </reference>
        </references>
      </pivotArea>
    </chartFormat>
    <chartFormat chart="13" format="179" series="1">
      <pivotArea type="data" outline="0" fieldPosition="0">
        <references count="2">
          <reference field="4294967294" count="1" selected="0">
            <x v="0"/>
          </reference>
          <reference field="6" count="1" selected="0">
            <x v="9"/>
          </reference>
        </references>
      </pivotArea>
    </chartFormat>
    <chartFormat chart="13" format="180" series="1">
      <pivotArea type="data" outline="0" fieldPosition="0">
        <references count="2">
          <reference field="4294967294" count="1" selected="0">
            <x v="0"/>
          </reference>
          <reference field="6" count="1" selected="0">
            <x v="10"/>
          </reference>
        </references>
      </pivotArea>
    </chartFormat>
    <chartFormat chart="13" format="181" series="1">
      <pivotArea type="data" outline="0" fieldPosition="0">
        <references count="2">
          <reference field="4294967294" count="1" selected="0">
            <x v="0"/>
          </reference>
          <reference field="6" count="1" selected="0">
            <x v="11"/>
          </reference>
        </references>
      </pivotArea>
    </chartFormat>
    <chartFormat chart="13" format="182" series="1">
      <pivotArea type="data" outline="0" fieldPosition="0">
        <references count="2">
          <reference field="4294967294" count="1" selected="0">
            <x v="0"/>
          </reference>
          <reference field="6" count="1" selected="0">
            <x v="12"/>
          </reference>
        </references>
      </pivotArea>
    </chartFormat>
    <chartFormat chart="13" format="183" series="1">
      <pivotArea type="data" outline="0" fieldPosition="0">
        <references count="2">
          <reference field="4294967294" count="1" selected="0">
            <x v="0"/>
          </reference>
          <reference field="6" count="1" selected="0">
            <x v="13"/>
          </reference>
        </references>
      </pivotArea>
    </chartFormat>
    <chartFormat chart="13" format="184" series="1">
      <pivotArea type="data" outline="0" fieldPosition="0">
        <references count="2">
          <reference field="4294967294" count="1" selected="0">
            <x v="0"/>
          </reference>
          <reference field="6" count="1" selected="0">
            <x v="14"/>
          </reference>
        </references>
      </pivotArea>
    </chartFormat>
    <chartFormat chart="13" format="185" series="1">
      <pivotArea type="data" outline="0" fieldPosition="0">
        <references count="2">
          <reference field="4294967294" count="1" selected="0">
            <x v="0"/>
          </reference>
          <reference field="6" count="1" selected="0">
            <x v="15"/>
          </reference>
        </references>
      </pivotArea>
    </chartFormat>
    <chartFormat chart="13" format="186" series="1">
      <pivotArea type="data" outline="0" fieldPosition="0">
        <references count="2">
          <reference field="4294967294" count="1" selected="0">
            <x v="0"/>
          </reference>
          <reference field="6" count="1" selected="0">
            <x v="16"/>
          </reference>
        </references>
      </pivotArea>
    </chartFormat>
    <chartFormat chart="13" format="187" series="1">
      <pivotArea type="data" outline="0" fieldPosition="0">
        <references count="2">
          <reference field="4294967294" count="1" selected="0">
            <x v="0"/>
          </reference>
          <reference field="6" count="1" selected="0">
            <x v="17"/>
          </reference>
        </references>
      </pivotArea>
    </chartFormat>
    <chartFormat chart="13" format="188" series="1">
      <pivotArea type="data" outline="0" fieldPosition="0">
        <references count="2">
          <reference field="4294967294" count="1" selected="0">
            <x v="0"/>
          </reference>
          <reference field="6" count="1" selected="0">
            <x v="19"/>
          </reference>
        </references>
      </pivotArea>
    </chartFormat>
    <chartFormat chart="13" format="189" series="1">
      <pivotArea type="data" outline="0" fieldPosition="0">
        <references count="2">
          <reference field="4294967294" count="1" selected="0">
            <x v="0"/>
          </reference>
          <reference field="6" count="1" selected="0">
            <x v="18"/>
          </reference>
        </references>
      </pivotArea>
    </chartFormat>
    <chartFormat chart="13" format="190" series="1">
      <pivotArea type="data" outline="0" fieldPosition="0">
        <references count="1">
          <reference field="4294967294" count="1" selected="0">
            <x v="0"/>
          </reference>
        </references>
      </pivotArea>
    </chartFormat>
    <chartFormat chart="13" format="191" series="1">
      <pivotArea type="data" outline="0" fieldPosition="0">
        <references count="2">
          <reference field="4294967294" count="1" selected="0">
            <x v="0"/>
          </reference>
          <reference field="6" count="1" selected="0">
            <x v="20"/>
          </reference>
        </references>
      </pivotArea>
    </chartFormat>
    <chartFormat chart="13" format="192" series="1">
      <pivotArea type="data" outline="0" fieldPosition="0">
        <references count="2">
          <reference field="4294967294" count="1" selected="0">
            <x v="0"/>
          </reference>
          <reference field="6"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19F77-9B35-4D76-9A09-283E7561C22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W37" firstHeaderRow="1" firstDataRow="2" firstDataCol="1"/>
  <pivotFields count="7">
    <pivotField axis="axisRow" showAll="0">
      <items count="17">
        <item h="1" m="1" x="10"/>
        <item h="1" m="1" x="11"/>
        <item h="1" m="1" x="12"/>
        <item h="1" x="9"/>
        <item h="1" m="1" x="13"/>
        <item h="1" m="1" x="14"/>
        <item h="1" m="1" x="15"/>
        <item x="0"/>
        <item x="1"/>
        <item x="2"/>
        <item x="3"/>
        <item x="4"/>
        <item x="5"/>
        <item x="6"/>
        <item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Row" showAll="0">
      <items count="6">
        <item x="2"/>
        <item x="0"/>
        <item x="1"/>
        <item x="4"/>
        <item h="1" x="3"/>
        <item t="default"/>
      </items>
    </pivotField>
    <pivotField axis="axisCol" showAll="0">
      <items count="23">
        <item x="11"/>
        <item x="3"/>
        <item x="5"/>
        <item x="2"/>
        <item x="10"/>
        <item x="6"/>
        <item x="17"/>
        <item x="13"/>
        <item x="14"/>
        <item x="12"/>
        <item x="15"/>
        <item x="1"/>
        <item x="16"/>
        <item x="8"/>
        <item x="4"/>
        <item x="0"/>
        <item x="9"/>
        <item x="7"/>
        <item x="21"/>
        <item x="18"/>
        <item x="19"/>
        <item x="20"/>
        <item t="default"/>
      </items>
    </pivotField>
  </pivotFields>
  <rowFields count="2">
    <field x="0"/>
    <field x="5"/>
  </rowFields>
  <rowItems count="33">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t="grand">
      <x/>
    </i>
  </rowItems>
  <colFields count="1">
    <field x="6"/>
  </colFields>
  <colItems count="22">
    <i>
      <x/>
    </i>
    <i>
      <x v="1"/>
    </i>
    <i>
      <x v="2"/>
    </i>
    <i>
      <x v="3"/>
    </i>
    <i>
      <x v="4"/>
    </i>
    <i>
      <x v="5"/>
    </i>
    <i>
      <x v="6"/>
    </i>
    <i>
      <x v="7"/>
    </i>
    <i>
      <x v="8"/>
    </i>
    <i>
      <x v="9"/>
    </i>
    <i>
      <x v="10"/>
    </i>
    <i>
      <x v="11"/>
    </i>
    <i>
      <x v="12"/>
    </i>
    <i>
      <x v="13"/>
    </i>
    <i>
      <x v="14"/>
    </i>
    <i>
      <x v="15"/>
    </i>
    <i>
      <x v="16"/>
    </i>
    <i>
      <x v="17"/>
    </i>
    <i>
      <x v="19"/>
    </i>
    <i>
      <x v="20"/>
    </i>
    <i>
      <x v="21"/>
    </i>
    <i t="grand">
      <x/>
    </i>
  </colItems>
  <dataFields count="1">
    <dataField name="Sum of Amount" fld="4" baseField="0" baseItem="0"/>
  </dataFields>
  <chartFormats count="24">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4" format="169" series="1">
      <pivotArea type="data" outline="0" fieldPosition="0">
        <references count="2">
          <reference field="4294967294" count="1" selected="0">
            <x v="0"/>
          </reference>
          <reference field="6" count="1" selected="0">
            <x v="19"/>
          </reference>
        </references>
      </pivotArea>
    </chartFormat>
    <chartFormat chart="4" format="170" series="1">
      <pivotArea type="data" outline="0" fieldPosition="0">
        <references count="2">
          <reference field="4294967294" count="1" selected="0">
            <x v="0"/>
          </reference>
          <reference field="6" count="1" selected="0">
            <x v="20"/>
          </reference>
        </references>
      </pivotArea>
    </chartFormat>
    <chartFormat chart="4" format="171" series="1">
      <pivotArea type="data" outline="0" fieldPosition="0">
        <references count="2">
          <reference field="4294967294" count="1" selected="0">
            <x v="0"/>
          </reference>
          <reference field="6"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0F98F-9465-4F55-9ACB-F162C3953B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M13" firstHeaderRow="1" firstDataRow="2" firstDataCol="1"/>
  <pivotFields count="8">
    <pivotField showAll="0"/>
    <pivotField showAll="0"/>
    <pivotField showAll="0"/>
    <pivotField showAll="0"/>
    <pivotField dataField="1" showAll="0"/>
    <pivotField showAll="0"/>
    <pivotField axis="axisCol" multipleItemSelectionAllowed="1" showAll="0">
      <items count="23">
        <item x="11"/>
        <item x="18"/>
        <item x="3"/>
        <item x="5"/>
        <item x="2"/>
        <item x="10"/>
        <item x="6"/>
        <item x="17"/>
        <item x="13"/>
        <item x="14"/>
        <item x="12"/>
        <item x="15"/>
        <item x="19"/>
        <item x="1"/>
        <item x="16"/>
        <item x="8"/>
        <item x="4"/>
        <item x="0"/>
        <item x="9"/>
        <item x="7"/>
        <item x="21"/>
        <item x="20"/>
        <item t="default"/>
      </items>
    </pivotField>
    <pivotField axis="axisRow" showAll="0">
      <items count="14">
        <item x="0"/>
        <item x="2"/>
        <item x="4"/>
        <item x="7"/>
        <item x="5"/>
        <item h="1" x="1"/>
        <item h="1" x="8"/>
        <item h="1" m="1" x="12"/>
        <item x="9"/>
        <item h="1" x="6"/>
        <item h="1" x="3"/>
        <item x="10"/>
        <item x="11"/>
        <item t="default"/>
      </items>
    </pivotField>
  </pivotFields>
  <rowFields count="1">
    <field x="7"/>
  </rowFields>
  <rowItems count="9">
    <i>
      <x/>
    </i>
    <i>
      <x v="1"/>
    </i>
    <i>
      <x v="2"/>
    </i>
    <i>
      <x v="3"/>
    </i>
    <i>
      <x v="4"/>
    </i>
    <i>
      <x v="8"/>
    </i>
    <i>
      <x v="11"/>
    </i>
    <i>
      <x v="12"/>
    </i>
    <i t="grand">
      <x/>
    </i>
  </rowItems>
  <colFields count="1">
    <field x="6"/>
  </colFields>
  <colItems count="12">
    <i>
      <x/>
    </i>
    <i>
      <x v="2"/>
    </i>
    <i>
      <x v="3"/>
    </i>
    <i>
      <x v="4"/>
    </i>
    <i>
      <x v="5"/>
    </i>
    <i>
      <x v="6"/>
    </i>
    <i>
      <x v="7"/>
    </i>
    <i>
      <x v="15"/>
    </i>
    <i>
      <x v="16"/>
    </i>
    <i>
      <x v="17"/>
    </i>
    <i>
      <x v="18"/>
    </i>
    <i t="grand">
      <x/>
    </i>
  </colItems>
  <dataFields count="1">
    <dataField name="Sum of Amount" fld="4"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0" format="2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9C5B1-404B-41BD-882E-661A596EAB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E17" firstHeaderRow="1" firstDataRow="2" firstDataCol="1"/>
  <pivotFields count="8">
    <pivotField axis="axisRow" showAll="0">
      <items count="15">
        <item h="1" m="1" x="13"/>
        <item h="1" m="1" x="8"/>
        <item h="1" m="1" x="9"/>
        <item h="1" m="1" x="10"/>
        <item h="1" m="1" x="11"/>
        <item h="1" m="1" x="12"/>
        <item h="1" x="7"/>
        <item x="0"/>
        <item x="1"/>
        <item x="2"/>
        <item x="3"/>
        <item x="4"/>
        <item x="5"/>
        <item x="6"/>
        <item t="default"/>
      </items>
    </pivotField>
    <pivotField showAll="0"/>
    <pivotField showAll="0"/>
    <pivotField showAll="0"/>
    <pivotField dataField="1" showAll="0"/>
    <pivotField showAll="0"/>
    <pivotField axis="axisCol" multipleItemSelectionAllowed="1" showAll="0">
      <items count="23">
        <item x="11"/>
        <item x="18"/>
        <item x="3"/>
        <item x="5"/>
        <item x="2"/>
        <item x="10"/>
        <item x="6"/>
        <item x="17"/>
        <item x="13"/>
        <item x="14"/>
        <item x="12"/>
        <item x="15"/>
        <item x="19"/>
        <item x="1"/>
        <item x="16"/>
        <item x="8"/>
        <item x="4"/>
        <item x="0"/>
        <item x="9"/>
        <item x="7"/>
        <item x="21"/>
        <item x="20"/>
        <item t="default"/>
      </items>
    </pivotField>
    <pivotField axis="axisRow" showAll="0">
      <items count="14">
        <item h="1" x="0"/>
        <item h="1" x="2"/>
        <item h="1" x="4"/>
        <item h="1" x="7"/>
        <item h="1" x="5"/>
        <item h="1" x="1"/>
        <item x="8"/>
        <item h="1" m="1" x="12"/>
        <item h="1" x="9"/>
        <item x="6"/>
        <item x="3"/>
        <item h="1" x="10"/>
        <item h="1" x="11"/>
        <item t="default"/>
      </items>
    </pivotField>
  </pivotFields>
  <rowFields count="2">
    <field x="0"/>
    <field x="7"/>
  </rowFields>
  <rowItems count="15">
    <i>
      <x v="7"/>
    </i>
    <i r="1">
      <x v="10"/>
    </i>
    <i>
      <x v="10"/>
    </i>
    <i r="1">
      <x v="6"/>
    </i>
    <i r="1">
      <x v="9"/>
    </i>
    <i r="1">
      <x v="10"/>
    </i>
    <i>
      <x v="11"/>
    </i>
    <i r="1">
      <x v="6"/>
    </i>
    <i r="1">
      <x v="9"/>
    </i>
    <i r="1">
      <x v="10"/>
    </i>
    <i>
      <x v="12"/>
    </i>
    <i r="1">
      <x v="6"/>
    </i>
    <i r="1">
      <x v="9"/>
    </i>
    <i r="1">
      <x v="10"/>
    </i>
    <i t="grand">
      <x/>
    </i>
  </rowItems>
  <colFields count="1">
    <field x="6"/>
  </colFields>
  <colItems count="4">
    <i>
      <x v="3"/>
    </i>
    <i>
      <x v="5"/>
    </i>
    <i>
      <x v="16"/>
    </i>
    <i t="grand">
      <x/>
    </i>
  </colItems>
  <dataFields count="1">
    <dataField name="Sum of Amount" fld="4" baseField="0" baseItem="0"/>
  </dataFields>
  <chartFormats count="3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6" format="21" series="1">
      <pivotArea type="data" outline="0" fieldPosition="0">
        <references count="2">
          <reference field="4294967294" count="1" selected="0">
            <x v="0"/>
          </reference>
          <reference field="6" count="1" selected="0">
            <x v="0"/>
          </reference>
        </references>
      </pivotArea>
    </chartFormat>
    <chartFormat chart="6" format="22" series="1">
      <pivotArea type="data" outline="0" fieldPosition="0">
        <references count="2">
          <reference field="4294967294" count="1" selected="0">
            <x v="0"/>
          </reference>
          <reference field="6" count="1" selected="0">
            <x v="2"/>
          </reference>
        </references>
      </pivotArea>
    </chartFormat>
    <chartFormat chart="6" format="23" series="1">
      <pivotArea type="data" outline="0" fieldPosition="0">
        <references count="2">
          <reference field="4294967294" count="1" selected="0">
            <x v="0"/>
          </reference>
          <reference field="6" count="1" selected="0">
            <x v="3"/>
          </reference>
        </references>
      </pivotArea>
    </chartFormat>
    <chartFormat chart="6" format="24" series="1">
      <pivotArea type="data" outline="0" fieldPosition="0">
        <references count="2">
          <reference field="4294967294" count="1" selected="0">
            <x v="0"/>
          </reference>
          <reference field="6" count="1" selected="0">
            <x v="4"/>
          </reference>
        </references>
      </pivotArea>
    </chartFormat>
    <chartFormat chart="6" format="25" series="1">
      <pivotArea type="data" outline="0" fieldPosition="0">
        <references count="2">
          <reference field="4294967294" count="1" selected="0">
            <x v="0"/>
          </reference>
          <reference field="6" count="1" selected="0">
            <x v="5"/>
          </reference>
        </references>
      </pivotArea>
    </chartFormat>
    <chartFormat chart="6" format="26" series="1">
      <pivotArea type="data" outline="0" fieldPosition="0">
        <references count="2">
          <reference field="4294967294" count="1" selected="0">
            <x v="0"/>
          </reference>
          <reference field="6" count="1" selected="0">
            <x v="6"/>
          </reference>
        </references>
      </pivotArea>
    </chartFormat>
    <chartFormat chart="6" format="27" series="1">
      <pivotArea type="data" outline="0" fieldPosition="0">
        <references count="2">
          <reference field="4294967294" count="1" selected="0">
            <x v="0"/>
          </reference>
          <reference field="6" count="1" selected="0">
            <x v="15"/>
          </reference>
        </references>
      </pivotArea>
    </chartFormat>
    <chartFormat chart="6" format="28" series="1">
      <pivotArea type="data" outline="0" fieldPosition="0">
        <references count="2">
          <reference field="4294967294" count="1" selected="0">
            <x v="0"/>
          </reference>
          <reference field="6" count="1" selected="0">
            <x v="16"/>
          </reference>
        </references>
      </pivotArea>
    </chartFormat>
    <chartFormat chart="6" format="29" series="1">
      <pivotArea type="data" outline="0" fieldPosition="0">
        <references count="2">
          <reference field="4294967294" count="1" selected="0">
            <x v="0"/>
          </reference>
          <reference field="6" count="1" selected="0">
            <x v="17"/>
          </reference>
        </references>
      </pivotArea>
    </chartFormat>
    <chartFormat chart="6" format="30" series="1">
      <pivotArea type="data" outline="0" fieldPosition="0">
        <references count="2">
          <reference field="4294967294" count="1" selected="0">
            <x v="0"/>
          </reference>
          <reference field="6"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529EE9-0DC9-461A-8923-E3EC796A3B64}"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E12" firstHeaderRow="1" firstDataRow="2" firstDataCol="1"/>
  <pivotFields count="7">
    <pivotField axis="axisRow" showAll="0">
      <items count="17">
        <item m="1" x="15"/>
        <item m="1" x="10"/>
        <item m="1" x="11"/>
        <item m="1" x="12"/>
        <item m="1" x="13"/>
        <item m="1" x="14"/>
        <item x="0"/>
        <item x="1"/>
        <item x="2"/>
        <item x="3"/>
        <item x="4"/>
        <item x="5"/>
        <item h="1" x="9"/>
        <item x="6"/>
        <item h="1"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Col" showAll="0">
      <items count="6">
        <item x="2"/>
        <item x="0"/>
        <item x="1"/>
        <item x="4"/>
        <item x="3"/>
        <item t="default"/>
      </items>
    </pivotField>
    <pivotField showAll="0"/>
  </pivotFields>
  <rowFields count="1">
    <field x="0"/>
  </rowFields>
  <rowItems count="8">
    <i>
      <x v="6"/>
    </i>
    <i>
      <x v="7"/>
    </i>
    <i>
      <x v="8"/>
    </i>
    <i>
      <x v="9"/>
    </i>
    <i>
      <x v="10"/>
    </i>
    <i>
      <x v="11"/>
    </i>
    <i>
      <x v="13"/>
    </i>
    <i t="grand">
      <x/>
    </i>
  </rowItems>
  <colFields count="1">
    <field x="5"/>
  </colFields>
  <colItems count="4">
    <i>
      <x/>
    </i>
    <i>
      <x v="1"/>
    </i>
    <i>
      <x v="2"/>
    </i>
    <i t="grand">
      <x/>
    </i>
  </colItems>
  <dataFields count="1">
    <dataField name="Sum of Amount" fld="4" baseField="0" baseItem="0"/>
  </dataFields>
  <chartFormats count="51">
    <chartFormat chart="0" format="0" series="1">
      <pivotArea type="data" outline="0" fieldPosition="0">
        <references count="1">
          <reference field="4294967294" count="1" selected="0">
            <x v="0"/>
          </reference>
        </references>
      </pivotArea>
    </chartFormat>
    <chartFormat chart="0" format="143" series="1">
      <pivotArea type="data" outline="0" fieldPosition="0">
        <references count="2">
          <reference field="4294967294" count="1" selected="0">
            <x v="0"/>
          </reference>
          <reference field="5" count="1" selected="0">
            <x v="1"/>
          </reference>
        </references>
      </pivotArea>
    </chartFormat>
    <chartFormat chart="0" format="144" series="1">
      <pivotArea type="data" outline="0" fieldPosition="0">
        <references count="2">
          <reference field="4294967294" count="1" selected="0">
            <x v="0"/>
          </reference>
          <reference field="5" count="1" selected="0">
            <x v="2"/>
          </reference>
        </references>
      </pivotArea>
    </chartFormat>
    <chartFormat chart="0" format="145" series="1">
      <pivotArea type="data" outline="0" fieldPosition="0">
        <references count="2">
          <reference field="4294967294" count="1" selected="0">
            <x v="0"/>
          </reference>
          <reference field="5" count="1" selected="0">
            <x v="3"/>
          </reference>
        </references>
      </pivotArea>
    </chartFormat>
    <chartFormat chart="0" format="146" series="1">
      <pivotArea type="data" outline="0" fieldPosition="0">
        <references count="2">
          <reference field="4294967294" count="1" selected="0">
            <x v="0"/>
          </reference>
          <reference field="5" count="1" selected="0">
            <x v="0"/>
          </reference>
        </references>
      </pivotArea>
    </chartFormat>
    <chartFormat chart="5" format="147" series="1">
      <pivotArea type="data" outline="0" fieldPosition="0">
        <references count="2">
          <reference field="4294967294" count="1" selected="0">
            <x v="0"/>
          </reference>
          <reference field="5" count="1" selected="0">
            <x v="0"/>
          </reference>
        </references>
      </pivotArea>
    </chartFormat>
    <chartFormat chart="5" format="148" series="1">
      <pivotArea type="data" outline="0" fieldPosition="0">
        <references count="2">
          <reference field="4294967294" count="1" selected="0">
            <x v="0"/>
          </reference>
          <reference field="5" count="1" selected="0">
            <x v="1"/>
          </reference>
        </references>
      </pivotArea>
    </chartFormat>
    <chartFormat chart="5" format="149" series="1">
      <pivotArea type="data" outline="0" fieldPosition="0">
        <references count="2">
          <reference field="4294967294" count="1" selected="0">
            <x v="0"/>
          </reference>
          <reference field="5" count="1" selected="0">
            <x v="2"/>
          </reference>
        </references>
      </pivotArea>
    </chartFormat>
    <chartFormat chart="5" format="150" series="1">
      <pivotArea type="data" outline="0" fieldPosition="0">
        <references count="1">
          <reference field="4294967294" count="1" selected="0">
            <x v="0"/>
          </reference>
        </references>
      </pivotArea>
    </chartFormat>
    <chartFormat chart="5" format="151">
      <pivotArea type="data" outline="0" fieldPosition="0">
        <references count="2">
          <reference field="4294967294" count="1" selected="0">
            <x v="0"/>
          </reference>
          <reference field="5" count="1" selected="0">
            <x v="0"/>
          </reference>
        </references>
      </pivotArea>
    </chartFormat>
    <chartFormat chart="5" format="152">
      <pivotArea type="data" outline="0" fieldPosition="0">
        <references count="2">
          <reference field="4294967294" count="1" selected="0">
            <x v="0"/>
          </reference>
          <reference field="5" count="1" selected="0">
            <x v="1"/>
          </reference>
        </references>
      </pivotArea>
    </chartFormat>
    <chartFormat chart="5" format="153">
      <pivotArea type="data" outline="0" fieldPosition="0">
        <references count="2">
          <reference field="4294967294" count="1" selected="0">
            <x v="0"/>
          </reference>
          <reference field="5" count="1" selected="0">
            <x v="2"/>
          </reference>
        </references>
      </pivotArea>
    </chartFormat>
    <chartFormat chart="5" format="155">
      <pivotArea type="data" outline="0" fieldPosition="0">
        <references count="2">
          <reference field="4294967294" count="1" selected="0">
            <x v="0"/>
          </reference>
          <reference field="5" count="1" selected="0">
            <x v="3"/>
          </reference>
        </references>
      </pivotArea>
    </chartFormat>
    <chartFormat chart="5" format="156">
      <pivotArea type="data" outline="0" fieldPosition="0">
        <references count="2">
          <reference field="4294967294" count="1" selected="0">
            <x v="0"/>
          </reference>
          <reference field="5" count="1" selected="0">
            <x v="4"/>
          </reference>
        </references>
      </pivotArea>
    </chartFormat>
    <chartFormat chart="9" format="157" series="1">
      <pivotArea type="data" outline="0" fieldPosition="0">
        <references count="1">
          <reference field="4294967294" count="1" selected="0">
            <x v="0"/>
          </reference>
        </references>
      </pivotArea>
    </chartFormat>
    <chartFormat chart="9" format="158">
      <pivotArea type="data" outline="0" fieldPosition="0">
        <references count="2">
          <reference field="4294967294" count="1" selected="0">
            <x v="0"/>
          </reference>
          <reference field="5" count="1" selected="0">
            <x v="0"/>
          </reference>
        </references>
      </pivotArea>
    </chartFormat>
    <chartFormat chart="9" format="159">
      <pivotArea type="data" outline="0" fieldPosition="0">
        <references count="2">
          <reference field="4294967294" count="1" selected="0">
            <x v="0"/>
          </reference>
          <reference field="5" count="1" selected="0">
            <x v="1"/>
          </reference>
        </references>
      </pivotArea>
    </chartFormat>
    <chartFormat chart="9" format="160">
      <pivotArea type="data" outline="0" fieldPosition="0">
        <references count="2">
          <reference field="4294967294" count="1" selected="0">
            <x v="0"/>
          </reference>
          <reference field="5" count="1" selected="0">
            <x v="2"/>
          </reference>
        </references>
      </pivotArea>
    </chartFormat>
    <chartFormat chart="9" format="161">
      <pivotArea type="data" outline="0" fieldPosition="0">
        <references count="2">
          <reference field="4294967294" count="1" selected="0">
            <x v="0"/>
          </reference>
          <reference field="5" count="1" selected="0">
            <x v="3"/>
          </reference>
        </references>
      </pivotArea>
    </chartFormat>
    <chartFormat chart="9" format="162" series="1">
      <pivotArea type="data" outline="0" fieldPosition="0">
        <references count="2">
          <reference field="4294967294" count="1" selected="0">
            <x v="0"/>
          </reference>
          <reference field="5" count="1" selected="0">
            <x v="1"/>
          </reference>
        </references>
      </pivotArea>
    </chartFormat>
    <chartFormat chart="9" format="163" series="1">
      <pivotArea type="data" outline="0" fieldPosition="0">
        <references count="2">
          <reference field="4294967294" count="1" selected="0">
            <x v="0"/>
          </reference>
          <reference field="5" count="1" selected="0">
            <x v="2"/>
          </reference>
        </references>
      </pivotArea>
    </chartFormat>
    <chartFormat chart="9" format="164" series="1">
      <pivotArea type="data" outline="0" fieldPosition="0">
        <references count="2">
          <reference field="4294967294" count="1" selected="0">
            <x v="0"/>
          </reference>
          <reference field="5" count="1" selected="0">
            <x v="3"/>
          </reference>
        </references>
      </pivotArea>
    </chartFormat>
    <chartFormat chart="9" format="165" series="1">
      <pivotArea type="data" outline="0" fieldPosition="0">
        <references count="2">
          <reference field="4294967294" count="1" selected="0">
            <x v="0"/>
          </reference>
          <reference field="5" count="1" selected="0">
            <x v="0"/>
          </reference>
        </references>
      </pivotArea>
    </chartFormat>
    <chartFormat chart="9" format="166">
      <pivotArea type="data" outline="0" fieldPosition="0">
        <references count="3">
          <reference field="4294967294" count="1" selected="0">
            <x v="0"/>
          </reference>
          <reference field="0" count="1" selected="0">
            <x v="6"/>
          </reference>
          <reference field="5" count="1" selected="0">
            <x v="0"/>
          </reference>
        </references>
      </pivotArea>
    </chartFormat>
    <chartFormat chart="9" format="167">
      <pivotArea type="data" outline="0" fieldPosition="0">
        <references count="3">
          <reference field="4294967294" count="1" selected="0">
            <x v="0"/>
          </reference>
          <reference field="0" count="1" selected="0">
            <x v="7"/>
          </reference>
          <reference field="5" count="1" selected="0">
            <x v="0"/>
          </reference>
        </references>
      </pivotArea>
    </chartFormat>
    <chartFormat chart="9" format="168">
      <pivotArea type="data" outline="0" fieldPosition="0">
        <references count="3">
          <reference field="4294967294" count="1" selected="0">
            <x v="0"/>
          </reference>
          <reference field="0" count="1" selected="0">
            <x v="8"/>
          </reference>
          <reference field="5" count="1" selected="0">
            <x v="0"/>
          </reference>
        </references>
      </pivotArea>
    </chartFormat>
    <chartFormat chart="9" format="169">
      <pivotArea type="data" outline="0" fieldPosition="0">
        <references count="3">
          <reference field="4294967294" count="1" selected="0">
            <x v="0"/>
          </reference>
          <reference field="0" count="1" selected="0">
            <x v="9"/>
          </reference>
          <reference field="5" count="1" selected="0">
            <x v="0"/>
          </reference>
        </references>
      </pivotArea>
    </chartFormat>
    <chartFormat chart="9" format="170">
      <pivotArea type="data" outline="0" fieldPosition="0">
        <references count="3">
          <reference field="4294967294" count="1" selected="0">
            <x v="0"/>
          </reference>
          <reference field="0" count="1" selected="0">
            <x v="10"/>
          </reference>
          <reference field="5" count="1" selected="0">
            <x v="0"/>
          </reference>
        </references>
      </pivotArea>
    </chartFormat>
    <chartFormat chart="9" format="171">
      <pivotArea type="data" outline="0" fieldPosition="0">
        <references count="3">
          <reference field="4294967294" count="1" selected="0">
            <x v="0"/>
          </reference>
          <reference field="0" count="1" selected="0">
            <x v="11"/>
          </reference>
          <reference field="5" count="1" selected="0">
            <x v="0"/>
          </reference>
        </references>
      </pivotArea>
    </chartFormat>
    <chartFormat chart="9" format="172">
      <pivotArea type="data" outline="0" fieldPosition="0">
        <references count="3">
          <reference field="4294967294" count="1" selected="0">
            <x v="0"/>
          </reference>
          <reference field="0" count="1" selected="0">
            <x v="6"/>
          </reference>
          <reference field="5" count="1" selected="0">
            <x v="1"/>
          </reference>
        </references>
      </pivotArea>
    </chartFormat>
    <chartFormat chart="9" format="173">
      <pivotArea type="data" outline="0" fieldPosition="0">
        <references count="3">
          <reference field="4294967294" count="1" selected="0">
            <x v="0"/>
          </reference>
          <reference field="0" count="1" selected="0">
            <x v="7"/>
          </reference>
          <reference field="5" count="1" selected="0">
            <x v="1"/>
          </reference>
        </references>
      </pivotArea>
    </chartFormat>
    <chartFormat chart="9" format="174">
      <pivotArea type="data" outline="0" fieldPosition="0">
        <references count="3">
          <reference field="4294967294" count="1" selected="0">
            <x v="0"/>
          </reference>
          <reference field="0" count="1" selected="0">
            <x v="8"/>
          </reference>
          <reference field="5" count="1" selected="0">
            <x v="1"/>
          </reference>
        </references>
      </pivotArea>
    </chartFormat>
    <chartFormat chart="9" format="175">
      <pivotArea type="data" outline="0" fieldPosition="0">
        <references count="3">
          <reference field="4294967294" count="1" selected="0">
            <x v="0"/>
          </reference>
          <reference field="0" count="1" selected="0">
            <x v="9"/>
          </reference>
          <reference field="5" count="1" selected="0">
            <x v="1"/>
          </reference>
        </references>
      </pivotArea>
    </chartFormat>
    <chartFormat chart="9" format="176">
      <pivotArea type="data" outline="0" fieldPosition="0">
        <references count="3">
          <reference field="4294967294" count="1" selected="0">
            <x v="0"/>
          </reference>
          <reference field="0" count="1" selected="0">
            <x v="10"/>
          </reference>
          <reference field="5" count="1" selected="0">
            <x v="1"/>
          </reference>
        </references>
      </pivotArea>
    </chartFormat>
    <chartFormat chart="9" format="177">
      <pivotArea type="data" outline="0" fieldPosition="0">
        <references count="3">
          <reference field="4294967294" count="1" selected="0">
            <x v="0"/>
          </reference>
          <reference field="0" count="1" selected="0">
            <x v="11"/>
          </reference>
          <reference field="5" count="1" selected="0">
            <x v="1"/>
          </reference>
        </references>
      </pivotArea>
    </chartFormat>
    <chartFormat chart="9" format="178">
      <pivotArea type="data" outline="0" fieldPosition="0">
        <references count="3">
          <reference field="4294967294" count="1" selected="0">
            <x v="0"/>
          </reference>
          <reference field="0" count="1" selected="0">
            <x v="6"/>
          </reference>
          <reference field="5" count="1" selected="0">
            <x v="2"/>
          </reference>
        </references>
      </pivotArea>
    </chartFormat>
    <chartFormat chart="9" format="179">
      <pivotArea type="data" outline="0" fieldPosition="0">
        <references count="3">
          <reference field="4294967294" count="1" selected="0">
            <x v="0"/>
          </reference>
          <reference field="0" count="1" selected="0">
            <x v="7"/>
          </reference>
          <reference field="5" count="1" selected="0">
            <x v="2"/>
          </reference>
        </references>
      </pivotArea>
    </chartFormat>
    <chartFormat chart="9" format="180">
      <pivotArea type="data" outline="0" fieldPosition="0">
        <references count="3">
          <reference field="4294967294" count="1" selected="0">
            <x v="0"/>
          </reference>
          <reference field="0" count="1" selected="0">
            <x v="8"/>
          </reference>
          <reference field="5" count="1" selected="0">
            <x v="2"/>
          </reference>
        </references>
      </pivotArea>
    </chartFormat>
    <chartFormat chart="9" format="181">
      <pivotArea type="data" outline="0" fieldPosition="0">
        <references count="3">
          <reference field="4294967294" count="1" selected="0">
            <x v="0"/>
          </reference>
          <reference field="0" count="1" selected="0">
            <x v="9"/>
          </reference>
          <reference field="5" count="1" selected="0">
            <x v="2"/>
          </reference>
        </references>
      </pivotArea>
    </chartFormat>
    <chartFormat chart="9" format="182">
      <pivotArea type="data" outline="0" fieldPosition="0">
        <references count="3">
          <reference field="4294967294" count="1" selected="0">
            <x v="0"/>
          </reference>
          <reference field="0" count="1" selected="0">
            <x v="10"/>
          </reference>
          <reference field="5" count="1" selected="0">
            <x v="2"/>
          </reference>
        </references>
      </pivotArea>
    </chartFormat>
    <chartFormat chart="9" format="183">
      <pivotArea type="data" outline="0" fieldPosition="0">
        <references count="3">
          <reference field="4294967294" count="1" selected="0">
            <x v="0"/>
          </reference>
          <reference field="0" count="1" selected="0">
            <x v="11"/>
          </reference>
          <reference field="5" count="1" selected="0">
            <x v="2"/>
          </reference>
        </references>
      </pivotArea>
    </chartFormat>
    <chartFormat chart="9" format="184" series="1">
      <pivotArea type="data" outline="0" fieldPosition="0">
        <references count="2">
          <reference field="4294967294" count="1" selected="0">
            <x v="0"/>
          </reference>
          <reference field="5" count="1" selected="0">
            <x v="4"/>
          </reference>
        </references>
      </pivotArea>
    </chartFormat>
    <chartFormat chart="9" format="185">
      <pivotArea type="data" outline="0" fieldPosition="0">
        <references count="3">
          <reference field="4294967294" count="1" selected="0">
            <x v="0"/>
          </reference>
          <reference field="0" count="1" selected="0">
            <x v="6"/>
          </reference>
          <reference field="5" count="1" selected="0">
            <x v="3"/>
          </reference>
        </references>
      </pivotArea>
    </chartFormat>
    <chartFormat chart="9" format="186">
      <pivotArea type="data" outline="0" fieldPosition="0">
        <references count="3">
          <reference field="4294967294" count="1" selected="0">
            <x v="0"/>
          </reference>
          <reference field="0" count="1" selected="0">
            <x v="7"/>
          </reference>
          <reference field="5" count="1" selected="0">
            <x v="3"/>
          </reference>
        </references>
      </pivotArea>
    </chartFormat>
    <chartFormat chart="9" format="187">
      <pivotArea type="data" outline="0" fieldPosition="0">
        <references count="3">
          <reference field="4294967294" count="1" selected="0">
            <x v="0"/>
          </reference>
          <reference field="0" count="1" selected="0">
            <x v="8"/>
          </reference>
          <reference field="5" count="1" selected="0">
            <x v="3"/>
          </reference>
        </references>
      </pivotArea>
    </chartFormat>
    <chartFormat chart="9" format="188">
      <pivotArea type="data" outline="0" fieldPosition="0">
        <references count="3">
          <reference field="4294967294" count="1" selected="0">
            <x v="0"/>
          </reference>
          <reference field="0" count="1" selected="0">
            <x v="9"/>
          </reference>
          <reference field="5" count="1" selected="0">
            <x v="3"/>
          </reference>
        </references>
      </pivotArea>
    </chartFormat>
    <chartFormat chart="9" format="189">
      <pivotArea type="data" outline="0" fieldPosition="0">
        <references count="3">
          <reference field="4294967294" count="1" selected="0">
            <x v="0"/>
          </reference>
          <reference field="0" count="1" selected="0">
            <x v="10"/>
          </reference>
          <reference field="5" count="1" selected="0">
            <x v="3"/>
          </reference>
        </references>
      </pivotArea>
    </chartFormat>
    <chartFormat chart="9" format="190">
      <pivotArea type="data" outline="0" fieldPosition="0">
        <references count="3">
          <reference field="4294967294" count="1" selected="0">
            <x v="0"/>
          </reference>
          <reference field="0" count="1" selected="0">
            <x v="11"/>
          </reference>
          <reference field="5" count="1" selected="0">
            <x v="3"/>
          </reference>
        </references>
      </pivotArea>
    </chartFormat>
    <chartFormat chart="9" format="191">
      <pivotArea type="data" outline="0" fieldPosition="0">
        <references count="3">
          <reference field="4294967294" count="1" selected="0">
            <x v="0"/>
          </reference>
          <reference field="0" count="1" selected="0">
            <x v="13"/>
          </reference>
          <reference field="5" count="1" selected="0">
            <x v="1"/>
          </reference>
        </references>
      </pivotArea>
    </chartFormat>
    <chartFormat chart="9" format="192">
      <pivotArea type="data" outline="0" fieldPosition="0">
        <references count="3">
          <reference field="4294967294" count="1" selected="0">
            <x v="0"/>
          </reference>
          <reference field="0" count="1" selected="0">
            <x v="13"/>
          </reference>
          <reference field="5" count="1" selected="0">
            <x v="0"/>
          </reference>
        </references>
      </pivotArea>
    </chartFormat>
    <chartFormat chart="9" format="193">
      <pivotArea type="data" outline="0" fieldPosition="0">
        <references count="3">
          <reference field="4294967294" count="1" selected="0">
            <x v="0"/>
          </reference>
          <reference field="0" count="1" selected="0">
            <x v="13"/>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0EB38A-5E32-43F8-A602-1A7E3FCA1BE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7">
    <pivotField showAll="0"/>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Row" showAll="0">
      <items count="6">
        <item x="2"/>
        <item x="0"/>
        <item x="1"/>
        <item x="4"/>
        <item x="3"/>
        <item t="default"/>
      </items>
    </pivotField>
    <pivotField showAll="0"/>
  </pivotFields>
  <rowFields count="1">
    <field x="5"/>
  </rowFields>
  <rowItems count="6">
    <i>
      <x/>
    </i>
    <i>
      <x v="1"/>
    </i>
    <i>
      <x v="2"/>
    </i>
    <i>
      <x v="3"/>
    </i>
    <i>
      <x v="4"/>
    </i>
    <i t="grand">
      <x/>
    </i>
  </rowItems>
  <colItems count="1">
    <i/>
  </colItems>
  <dataFields count="1">
    <dataField name="Sum of Amount" fld="4" baseField="0" baseItem="0"/>
  </dataFields>
  <chartFormats count="14">
    <chartFormat chart="0" format="0" series="1">
      <pivotArea type="data" outline="0" fieldPosition="0">
        <references count="1">
          <reference field="4294967294" count="1" selected="0">
            <x v="0"/>
          </reference>
        </references>
      </pivotArea>
    </chartFormat>
    <chartFormat chart="0" format="143" series="1">
      <pivotArea type="data" outline="0" fieldPosition="0">
        <references count="2">
          <reference field="4294967294" count="1" selected="0">
            <x v="0"/>
          </reference>
          <reference field="5" count="1" selected="0">
            <x v="1"/>
          </reference>
        </references>
      </pivotArea>
    </chartFormat>
    <chartFormat chart="0" format="144" series="1">
      <pivotArea type="data" outline="0" fieldPosition="0">
        <references count="2">
          <reference field="4294967294" count="1" selected="0">
            <x v="0"/>
          </reference>
          <reference field="5" count="1" selected="0">
            <x v="2"/>
          </reference>
        </references>
      </pivotArea>
    </chartFormat>
    <chartFormat chart="0" format="145" series="1">
      <pivotArea type="data" outline="0" fieldPosition="0">
        <references count="2">
          <reference field="4294967294" count="1" selected="0">
            <x v="0"/>
          </reference>
          <reference field="5" count="1" selected="0">
            <x v="3"/>
          </reference>
        </references>
      </pivotArea>
    </chartFormat>
    <chartFormat chart="0" format="146" series="1">
      <pivotArea type="data" outline="0" fieldPosition="0">
        <references count="2">
          <reference field="4294967294" count="1" selected="0">
            <x v="0"/>
          </reference>
          <reference field="5" count="1" selected="0">
            <x v="0"/>
          </reference>
        </references>
      </pivotArea>
    </chartFormat>
    <chartFormat chart="5" format="147" series="1">
      <pivotArea type="data" outline="0" fieldPosition="0">
        <references count="2">
          <reference field="4294967294" count="1" selected="0">
            <x v="0"/>
          </reference>
          <reference field="5" count="1" selected="0">
            <x v="0"/>
          </reference>
        </references>
      </pivotArea>
    </chartFormat>
    <chartFormat chart="5" format="148" series="1">
      <pivotArea type="data" outline="0" fieldPosition="0">
        <references count="2">
          <reference field="4294967294" count="1" selected="0">
            <x v="0"/>
          </reference>
          <reference field="5" count="1" selected="0">
            <x v="1"/>
          </reference>
        </references>
      </pivotArea>
    </chartFormat>
    <chartFormat chart="5" format="149" series="1">
      <pivotArea type="data" outline="0" fieldPosition="0">
        <references count="2">
          <reference field="4294967294" count="1" selected="0">
            <x v="0"/>
          </reference>
          <reference field="5" count="1" selected="0">
            <x v="2"/>
          </reference>
        </references>
      </pivotArea>
    </chartFormat>
    <chartFormat chart="5" format="150" series="1">
      <pivotArea type="data" outline="0" fieldPosition="0">
        <references count="1">
          <reference field="4294967294" count="1" selected="0">
            <x v="0"/>
          </reference>
        </references>
      </pivotArea>
    </chartFormat>
    <chartFormat chart="5" format="151">
      <pivotArea type="data" outline="0" fieldPosition="0">
        <references count="2">
          <reference field="4294967294" count="1" selected="0">
            <x v="0"/>
          </reference>
          <reference field="5" count="1" selected="0">
            <x v="0"/>
          </reference>
        </references>
      </pivotArea>
    </chartFormat>
    <chartFormat chart="5" format="152">
      <pivotArea type="data" outline="0" fieldPosition="0">
        <references count="2">
          <reference field="4294967294" count="1" selected="0">
            <x v="0"/>
          </reference>
          <reference field="5" count="1" selected="0">
            <x v="1"/>
          </reference>
        </references>
      </pivotArea>
    </chartFormat>
    <chartFormat chart="5" format="153">
      <pivotArea type="data" outline="0" fieldPosition="0">
        <references count="2">
          <reference field="4294967294" count="1" selected="0">
            <x v="0"/>
          </reference>
          <reference field="5" count="1" selected="0">
            <x v="2"/>
          </reference>
        </references>
      </pivotArea>
    </chartFormat>
    <chartFormat chart="5" format="155">
      <pivotArea type="data" outline="0" fieldPosition="0">
        <references count="2">
          <reference field="4294967294" count="1" selected="0">
            <x v="0"/>
          </reference>
          <reference field="5" count="1" selected="0">
            <x v="3"/>
          </reference>
        </references>
      </pivotArea>
    </chartFormat>
    <chartFormat chart="5" format="15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73B7CC-D1E0-4798-BFD3-A708D9953A4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8" firstHeaderRow="1" firstDataRow="1" firstDataCol="1"/>
  <pivotFields count="7">
    <pivotField showAll="0"/>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showAll="0">
      <items count="6">
        <item x="2"/>
        <item x="0"/>
        <item x="1"/>
        <item x="3"/>
        <item x="4"/>
        <item t="default"/>
      </items>
    </pivotField>
    <pivotField axis="axisRow" showAll="0">
      <items count="23">
        <item x="11"/>
        <item x="3"/>
        <item x="5"/>
        <item x="2"/>
        <item x="10"/>
        <item x="6"/>
        <item x="17"/>
        <item x="13"/>
        <item x="14"/>
        <item x="12"/>
        <item x="15"/>
        <item x="1"/>
        <item x="16"/>
        <item x="8"/>
        <item x="4"/>
        <item x="0"/>
        <item x="9"/>
        <item x="7"/>
        <item x="21"/>
        <item x="18"/>
        <item x="19"/>
        <item x="20"/>
        <item t="default"/>
      </items>
    </pivotField>
  </pivotFields>
  <rowFields count="1">
    <field x="6"/>
  </rowFields>
  <rowItems count="15">
    <i>
      <x/>
    </i>
    <i>
      <x v="2"/>
    </i>
    <i>
      <x v="3"/>
    </i>
    <i>
      <x v="4"/>
    </i>
    <i>
      <x v="5"/>
    </i>
    <i>
      <x v="7"/>
    </i>
    <i>
      <x v="8"/>
    </i>
    <i>
      <x v="9"/>
    </i>
    <i>
      <x v="10"/>
    </i>
    <i>
      <x v="11"/>
    </i>
    <i>
      <x v="13"/>
    </i>
    <i>
      <x v="14"/>
    </i>
    <i>
      <x v="15"/>
    </i>
    <i>
      <x v="16"/>
    </i>
    <i t="grand">
      <x/>
    </i>
  </rowItems>
  <colItems count="1">
    <i/>
  </colItems>
  <dataFields count="1">
    <dataField name="Sum of Amount" fld="4" baseField="0" baseItem="0"/>
  </dataFields>
  <chartFormats count="61">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8" format="169" series="1">
      <pivotArea type="data" outline="0" fieldPosition="0">
        <references count="2">
          <reference field="4294967294" count="1" selected="0">
            <x v="0"/>
          </reference>
          <reference field="6" count="1" selected="0">
            <x v="0"/>
          </reference>
        </references>
      </pivotArea>
    </chartFormat>
    <chartFormat chart="8" format="170" series="1">
      <pivotArea type="data" outline="0" fieldPosition="0">
        <references count="2">
          <reference field="4294967294" count="1" selected="0">
            <x v="0"/>
          </reference>
          <reference field="6" count="1" selected="0">
            <x v="1"/>
          </reference>
        </references>
      </pivotArea>
    </chartFormat>
    <chartFormat chart="8" format="171" series="1">
      <pivotArea type="data" outline="0" fieldPosition="0">
        <references count="2">
          <reference field="4294967294" count="1" selected="0">
            <x v="0"/>
          </reference>
          <reference field="6" count="1" selected="0">
            <x v="2"/>
          </reference>
        </references>
      </pivotArea>
    </chartFormat>
    <chartFormat chart="8" format="172" series="1">
      <pivotArea type="data" outline="0" fieldPosition="0">
        <references count="2">
          <reference field="4294967294" count="1" selected="0">
            <x v="0"/>
          </reference>
          <reference field="6" count="1" selected="0">
            <x v="3"/>
          </reference>
        </references>
      </pivotArea>
    </chartFormat>
    <chartFormat chart="8" format="173" series="1">
      <pivotArea type="data" outline="0" fieldPosition="0">
        <references count="2">
          <reference field="4294967294" count="1" selected="0">
            <x v="0"/>
          </reference>
          <reference field="6" count="1" selected="0">
            <x v="4"/>
          </reference>
        </references>
      </pivotArea>
    </chartFormat>
    <chartFormat chart="8" format="174" series="1">
      <pivotArea type="data" outline="0" fieldPosition="0">
        <references count="2">
          <reference field="4294967294" count="1" selected="0">
            <x v="0"/>
          </reference>
          <reference field="6" count="1" selected="0">
            <x v="5"/>
          </reference>
        </references>
      </pivotArea>
    </chartFormat>
    <chartFormat chart="8" format="175" series="1">
      <pivotArea type="data" outline="0" fieldPosition="0">
        <references count="2">
          <reference field="4294967294" count="1" selected="0">
            <x v="0"/>
          </reference>
          <reference field="6" count="1" selected="0">
            <x v="6"/>
          </reference>
        </references>
      </pivotArea>
    </chartFormat>
    <chartFormat chart="8" format="176" series="1">
      <pivotArea type="data" outline="0" fieldPosition="0">
        <references count="2">
          <reference field="4294967294" count="1" selected="0">
            <x v="0"/>
          </reference>
          <reference field="6" count="1" selected="0">
            <x v="7"/>
          </reference>
        </references>
      </pivotArea>
    </chartFormat>
    <chartFormat chart="8" format="177" series="1">
      <pivotArea type="data" outline="0" fieldPosition="0">
        <references count="2">
          <reference field="4294967294" count="1" selected="0">
            <x v="0"/>
          </reference>
          <reference field="6" count="1" selected="0">
            <x v="8"/>
          </reference>
        </references>
      </pivotArea>
    </chartFormat>
    <chartFormat chart="8" format="178" series="1">
      <pivotArea type="data" outline="0" fieldPosition="0">
        <references count="2">
          <reference field="4294967294" count="1" selected="0">
            <x v="0"/>
          </reference>
          <reference field="6" count="1" selected="0">
            <x v="9"/>
          </reference>
        </references>
      </pivotArea>
    </chartFormat>
    <chartFormat chart="8" format="179" series="1">
      <pivotArea type="data" outline="0" fieldPosition="0">
        <references count="2">
          <reference field="4294967294" count="1" selected="0">
            <x v="0"/>
          </reference>
          <reference field="6" count="1" selected="0">
            <x v="10"/>
          </reference>
        </references>
      </pivotArea>
    </chartFormat>
    <chartFormat chart="8" format="180" series="1">
      <pivotArea type="data" outline="0" fieldPosition="0">
        <references count="2">
          <reference field="4294967294" count="1" selected="0">
            <x v="0"/>
          </reference>
          <reference field="6" count="1" selected="0">
            <x v="11"/>
          </reference>
        </references>
      </pivotArea>
    </chartFormat>
    <chartFormat chart="8" format="181" series="1">
      <pivotArea type="data" outline="0" fieldPosition="0">
        <references count="2">
          <reference field="4294967294" count="1" selected="0">
            <x v="0"/>
          </reference>
          <reference field="6" count="1" selected="0">
            <x v="12"/>
          </reference>
        </references>
      </pivotArea>
    </chartFormat>
    <chartFormat chart="8" format="182" series="1">
      <pivotArea type="data" outline="0" fieldPosition="0">
        <references count="2">
          <reference field="4294967294" count="1" selected="0">
            <x v="0"/>
          </reference>
          <reference field="6" count="1" selected="0">
            <x v="13"/>
          </reference>
        </references>
      </pivotArea>
    </chartFormat>
    <chartFormat chart="8" format="183" series="1">
      <pivotArea type="data" outline="0" fieldPosition="0">
        <references count="2">
          <reference field="4294967294" count="1" selected="0">
            <x v="0"/>
          </reference>
          <reference field="6" count="1" selected="0">
            <x v="14"/>
          </reference>
        </references>
      </pivotArea>
    </chartFormat>
    <chartFormat chart="8" format="184" series="1">
      <pivotArea type="data" outline="0" fieldPosition="0">
        <references count="2">
          <reference field="4294967294" count="1" selected="0">
            <x v="0"/>
          </reference>
          <reference field="6" count="1" selected="0">
            <x v="15"/>
          </reference>
        </references>
      </pivotArea>
    </chartFormat>
    <chartFormat chart="8" format="185" series="1">
      <pivotArea type="data" outline="0" fieldPosition="0">
        <references count="2">
          <reference field="4294967294" count="1" selected="0">
            <x v="0"/>
          </reference>
          <reference field="6" count="1" selected="0">
            <x v="16"/>
          </reference>
        </references>
      </pivotArea>
    </chartFormat>
    <chartFormat chart="8" format="186" series="1">
      <pivotArea type="data" outline="0" fieldPosition="0">
        <references count="2">
          <reference field="4294967294" count="1" selected="0">
            <x v="0"/>
          </reference>
          <reference field="6" count="1" selected="0">
            <x v="17"/>
          </reference>
        </references>
      </pivotArea>
    </chartFormat>
    <chartFormat chart="8" format="187" series="1">
      <pivotArea type="data" outline="0" fieldPosition="0">
        <references count="2">
          <reference field="4294967294" count="1" selected="0">
            <x v="0"/>
          </reference>
          <reference field="6" count="1" selected="0">
            <x v="18"/>
          </reference>
        </references>
      </pivotArea>
    </chartFormat>
    <chartFormat chart="8" format="188" series="1">
      <pivotArea type="data" outline="0" fieldPosition="0">
        <references count="1">
          <reference field="4294967294" count="1" selected="0">
            <x v="0"/>
          </reference>
        </references>
      </pivotArea>
    </chartFormat>
    <chartFormat chart="8" format="189">
      <pivotArea type="data" outline="0" fieldPosition="0">
        <references count="2">
          <reference field="4294967294" count="1" selected="0">
            <x v="0"/>
          </reference>
          <reference field="6" count="1" selected="0">
            <x v="0"/>
          </reference>
        </references>
      </pivotArea>
    </chartFormat>
    <chartFormat chart="8" format="190">
      <pivotArea type="data" outline="0" fieldPosition="0">
        <references count="2">
          <reference field="4294967294" count="1" selected="0">
            <x v="0"/>
          </reference>
          <reference field="6" count="1" selected="0">
            <x v="1"/>
          </reference>
        </references>
      </pivotArea>
    </chartFormat>
    <chartFormat chart="8" format="191">
      <pivotArea type="data" outline="0" fieldPosition="0">
        <references count="2">
          <reference field="4294967294" count="1" selected="0">
            <x v="0"/>
          </reference>
          <reference field="6" count="1" selected="0">
            <x v="2"/>
          </reference>
        </references>
      </pivotArea>
    </chartFormat>
    <chartFormat chart="8" format="192">
      <pivotArea type="data" outline="0" fieldPosition="0">
        <references count="2">
          <reference field="4294967294" count="1" selected="0">
            <x v="0"/>
          </reference>
          <reference field="6" count="1" selected="0">
            <x v="3"/>
          </reference>
        </references>
      </pivotArea>
    </chartFormat>
    <chartFormat chart="8" format="193">
      <pivotArea type="data" outline="0" fieldPosition="0">
        <references count="2">
          <reference field="4294967294" count="1" selected="0">
            <x v="0"/>
          </reference>
          <reference field="6" count="1" selected="0">
            <x v="4"/>
          </reference>
        </references>
      </pivotArea>
    </chartFormat>
    <chartFormat chart="8" format="194">
      <pivotArea type="data" outline="0" fieldPosition="0">
        <references count="2">
          <reference field="4294967294" count="1" selected="0">
            <x v="0"/>
          </reference>
          <reference field="6" count="1" selected="0">
            <x v="5"/>
          </reference>
        </references>
      </pivotArea>
    </chartFormat>
    <chartFormat chart="8" format="195">
      <pivotArea type="data" outline="0" fieldPosition="0">
        <references count="2">
          <reference field="4294967294" count="1" selected="0">
            <x v="0"/>
          </reference>
          <reference field="6" count="1" selected="0">
            <x v="6"/>
          </reference>
        </references>
      </pivotArea>
    </chartFormat>
    <chartFormat chart="8" format="196">
      <pivotArea type="data" outline="0" fieldPosition="0">
        <references count="2">
          <reference field="4294967294" count="1" selected="0">
            <x v="0"/>
          </reference>
          <reference field="6" count="1" selected="0">
            <x v="7"/>
          </reference>
        </references>
      </pivotArea>
    </chartFormat>
    <chartFormat chart="8" format="197">
      <pivotArea type="data" outline="0" fieldPosition="0">
        <references count="2">
          <reference field="4294967294" count="1" selected="0">
            <x v="0"/>
          </reference>
          <reference field="6" count="1" selected="0">
            <x v="8"/>
          </reference>
        </references>
      </pivotArea>
    </chartFormat>
    <chartFormat chart="8" format="198">
      <pivotArea type="data" outline="0" fieldPosition="0">
        <references count="2">
          <reference field="4294967294" count="1" selected="0">
            <x v="0"/>
          </reference>
          <reference field="6" count="1" selected="0">
            <x v="9"/>
          </reference>
        </references>
      </pivotArea>
    </chartFormat>
    <chartFormat chart="8" format="199">
      <pivotArea type="data" outline="0" fieldPosition="0">
        <references count="2">
          <reference field="4294967294" count="1" selected="0">
            <x v="0"/>
          </reference>
          <reference field="6" count="1" selected="0">
            <x v="10"/>
          </reference>
        </references>
      </pivotArea>
    </chartFormat>
    <chartFormat chart="8" format="200">
      <pivotArea type="data" outline="0" fieldPosition="0">
        <references count="2">
          <reference field="4294967294" count="1" selected="0">
            <x v="0"/>
          </reference>
          <reference field="6" count="1" selected="0">
            <x v="11"/>
          </reference>
        </references>
      </pivotArea>
    </chartFormat>
    <chartFormat chart="8" format="201">
      <pivotArea type="data" outline="0" fieldPosition="0">
        <references count="2">
          <reference field="4294967294" count="1" selected="0">
            <x v="0"/>
          </reference>
          <reference field="6" count="1" selected="0">
            <x v="12"/>
          </reference>
        </references>
      </pivotArea>
    </chartFormat>
    <chartFormat chart="8" format="202">
      <pivotArea type="data" outline="0" fieldPosition="0">
        <references count="2">
          <reference field="4294967294" count="1" selected="0">
            <x v="0"/>
          </reference>
          <reference field="6" count="1" selected="0">
            <x v="13"/>
          </reference>
        </references>
      </pivotArea>
    </chartFormat>
    <chartFormat chart="8" format="203">
      <pivotArea type="data" outline="0" fieldPosition="0">
        <references count="2">
          <reference field="4294967294" count="1" selected="0">
            <x v="0"/>
          </reference>
          <reference field="6" count="1" selected="0">
            <x v="14"/>
          </reference>
        </references>
      </pivotArea>
    </chartFormat>
    <chartFormat chart="8" format="204">
      <pivotArea type="data" outline="0" fieldPosition="0">
        <references count="2">
          <reference field="4294967294" count="1" selected="0">
            <x v="0"/>
          </reference>
          <reference field="6" count="1" selected="0">
            <x v="15"/>
          </reference>
        </references>
      </pivotArea>
    </chartFormat>
    <chartFormat chart="8" format="205">
      <pivotArea type="data" outline="0" fieldPosition="0">
        <references count="2">
          <reference field="4294967294" count="1" selected="0">
            <x v="0"/>
          </reference>
          <reference field="6" count="1" selected="0">
            <x v="16"/>
          </reference>
        </references>
      </pivotArea>
    </chartFormat>
    <chartFormat chart="8" format="206">
      <pivotArea type="data" outline="0" fieldPosition="0">
        <references count="2">
          <reference field="4294967294" count="1" selected="0">
            <x v="0"/>
          </reference>
          <reference field="6" count="1" selected="0">
            <x v="17"/>
          </reference>
        </references>
      </pivotArea>
    </chartFormat>
    <chartFormat chart="8" format="207">
      <pivotArea type="data" outline="0" fieldPosition="0">
        <references count="2">
          <reference field="4294967294" count="1" selected="0">
            <x v="0"/>
          </reference>
          <reference field="6" count="1" selected="0">
            <x v="18"/>
          </reference>
        </references>
      </pivotArea>
    </chartFormat>
    <chartFormat chart="8" format="208">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filters count="1">
    <filter fld="1" type="dateBetween" evalOrder="-1" id="132" name="Date">
      <autoFilter ref="A1">
        <filterColumn colId="0">
          <customFilters and="1">
            <customFilter operator="greaterThanOrEqual" val="45658"/>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8EE217EA-DCC2-4216-93CC-F9CE9A92A0ED}" sourceName="Category">
  <pivotTables>
    <pivotTable tabId="19" name="PivotTable1"/>
  </pivotTables>
  <data>
    <tabular pivotCacheId="1898576086">
      <items count="5">
        <i x="2" s="1"/>
        <i x="0" s="1"/>
        <i x="1" s="1"/>
        <i x="3"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31" xr10:uid="{93740442-059C-4655-B2C3-74EEEFD663E2}" sourceName="Sub-Category">
  <pivotTables>
    <pivotTable tabId="23" name="PivotTable1"/>
  </pivotTables>
  <data>
    <tabular pivotCacheId="169274174">
      <items count="22">
        <i x="5" s="1"/>
        <i x="10" s="1"/>
        <i x="4" s="1"/>
        <i x="11" s="1" nd="1"/>
        <i x="18" s="1" nd="1"/>
        <i x="3" s="1" nd="1"/>
        <i x="20" s="1" nd="1"/>
        <i x="2" s="1" nd="1"/>
        <i x="6" s="1" nd="1"/>
        <i x="17" s="1" nd="1"/>
        <i x="13" s="1" nd="1"/>
        <i x="14" s="1" nd="1"/>
        <i x="12" s="1" nd="1"/>
        <i x="15" s="1" nd="1"/>
        <i x="19" s="1" nd="1"/>
        <i x="1" s="1" nd="1"/>
        <i x="16" s="1" nd="1"/>
        <i x="8" s="1" nd="1"/>
        <i x="0" s="1" nd="1"/>
        <i x="9" s="1" nd="1"/>
        <i x="7" s="1" nd="1"/>
        <i x="2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1" xr10:uid="{140CA752-47C8-4248-B34C-793C75EA5829}" sourceName="Purpose">
  <pivotTables>
    <pivotTable tabId="23" name="PivotTable1"/>
  </pivotTables>
  <data>
    <tabular pivotCacheId="169274174">
      <items count="13">
        <i x="8" s="1"/>
        <i x="6" s="1"/>
        <i x="0"/>
        <i x="2"/>
        <i x="4"/>
        <i x="10"/>
        <i x="9"/>
        <i x="7"/>
        <i x="3" s="1"/>
        <i x="11"/>
        <i x="5"/>
        <i x="1"/>
        <i x="12"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1" xr10:uid="{9D00058A-6367-4F5D-AB93-391D1C6CBFBF}" sourceName="Category">
  <pivotTables>
    <pivotTable tabId="24" name="PivotTable1"/>
  </pivotTables>
  <data>
    <tabular pivotCacheId="1898576086">
      <items count="5">
        <i x="2" s="1"/>
        <i x="0" s="1"/>
        <i x="1" s="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C8F8297B-D9D7-45BC-9352-C3DF36C538B0}" sourceName="Sub-Category">
  <pivotTables>
    <pivotTable tabId="18" name="PivotTable1"/>
  </pivotTables>
  <data>
    <tabular pivotCacheId="1898576086">
      <items count="22">
        <i x="11" s="1"/>
        <i x="18" s="1"/>
        <i x="3" s="1"/>
        <i x="20" s="1"/>
        <i x="5" s="1"/>
        <i x="2" s="1"/>
        <i x="10" s="1"/>
        <i x="6" s="1"/>
        <i x="17" s="1"/>
        <i x="13" s="1"/>
        <i x="14" s="1"/>
        <i x="12" s="1"/>
        <i x="15" s="1"/>
        <i x="19" s="1"/>
        <i x="1" s="1"/>
        <i x="16" s="1"/>
        <i x="8" s="1"/>
        <i x="4" s="1"/>
        <i x="0" s="1"/>
        <i x="9" s="1"/>
        <i x="7" s="1"/>
        <i x="2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24F2A036-C52B-4F67-A24D-5E7129256077}" sourceName="Sub-Category">
  <pivotTables>
    <pivotTable tabId="20" name="PivotTable1"/>
  </pivotTables>
  <data>
    <tabular pivotCacheId="1898576086">
      <items count="22">
        <i x="11" s="1"/>
        <i x="5" s="1"/>
        <i x="2" s="1"/>
        <i x="10" s="1"/>
        <i x="6" s="1"/>
        <i x="13" s="1"/>
        <i x="14" s="1"/>
        <i x="12" s="1"/>
        <i x="15" s="1"/>
        <i x="1" s="1"/>
        <i x="8" s="1"/>
        <i x="4" s="1"/>
        <i x="0" s="1"/>
        <i x="9" s="1"/>
        <i x="18" s="1" nd="1"/>
        <i x="3" s="1" nd="1"/>
        <i x="20" s="1" nd="1"/>
        <i x="17" s="1" nd="1"/>
        <i x="19" s="1" nd="1"/>
        <i x="16" s="1" nd="1"/>
        <i x="7" s="1" nd="1"/>
        <i x="2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2" xr10:uid="{59A18E80-6A5D-48E9-AC06-6DCB409C6903}" sourceName="Sub-Category">
  <pivotTables>
    <pivotTable tabId="21" name="PivotTable1"/>
  </pivotTables>
  <data>
    <tabular pivotCacheId="1898576086">
      <items count="22">
        <i x="11" s="1"/>
        <i x="18" s="1"/>
        <i x="3" s="1"/>
        <i x="20" s="1"/>
        <i x="5" s="1"/>
        <i x="2" s="1"/>
        <i x="10" s="1"/>
        <i x="6" s="1"/>
        <i x="17" s="1"/>
        <i x="13" s="1"/>
        <i x="14" s="1"/>
        <i x="12" s="1"/>
        <i x="15" s="1"/>
        <i x="19" s="1"/>
        <i x="1" s="1"/>
        <i x="16" s="1"/>
        <i x="8" s="1"/>
        <i x="4" s="1"/>
        <i x="0" s="1"/>
        <i x="9" s="1"/>
        <i x="7" s="1"/>
        <i x="2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3D17A08-27C4-4142-B232-C1125891738B}" sourceName="Category">
  <pivotTables>
    <pivotTable tabId="18" name="PivotTable1"/>
  </pivotTables>
  <data>
    <tabular pivotCacheId="1898576086">
      <items count="5">
        <i x="2" s="1"/>
        <i x="0" s="1"/>
        <i x="1" s="1"/>
        <i x="3"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42FE70-627E-40DF-806D-9583A1322CCF}" sourceName="Category">
  <pivotTables>
    <pivotTable tabId="21" name="PivotTable1"/>
  </pivotTables>
  <data>
    <tabular pivotCacheId="1898576086">
      <items count="5">
        <i x="2" s="1"/>
        <i x="0" s="1"/>
        <i x="1" s="1"/>
        <i x="3"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AFCB152E-B0E1-4E48-8947-6D41E3B6493B}" sourceName="Category">
  <pivotTables>
    <pivotTable tabId="20" name="PivotTable1"/>
  </pivotTables>
  <data>
    <tabular pivotCacheId="1898576086">
      <items count="5">
        <i x="2" s="1"/>
        <i x="0" s="1"/>
        <i x="1" s="1"/>
        <i x="3"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3" xr10:uid="{BF318DF5-DA1E-451E-8CA7-59D41F968A58}" sourceName="Sub-Category">
  <pivotTables>
    <pivotTable tabId="22" name="PivotTable1"/>
  </pivotTables>
  <data>
    <tabular pivotCacheId="169274174">
      <items count="22">
        <i x="11" s="1"/>
        <i x="3" s="1"/>
        <i x="5" s="1"/>
        <i x="2" s="1"/>
        <i x="10" s="1"/>
        <i x="6" s="1"/>
        <i x="17" s="1"/>
        <i x="8" s="1"/>
        <i x="4" s="1"/>
        <i x="0" s="1"/>
        <i x="9" s="1"/>
        <i x="18" s="1" nd="1"/>
        <i x="20" s="1" nd="1"/>
        <i x="13" s="1" nd="1"/>
        <i x="14" s="1" nd="1"/>
        <i x="12" s="1" nd="1"/>
        <i x="15" s="1" nd="1"/>
        <i x="19" s="1" nd="1"/>
        <i x="1" s="1" nd="1"/>
        <i x="16" s="1" nd="1"/>
        <i x="7" s="1" nd="1"/>
        <i x="2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77538367-0272-4A9F-AC18-F8F2B91DDC67}" sourceName="Purpose">
  <pivotTables>
    <pivotTable tabId="22" name="PivotTable1"/>
  </pivotTables>
  <data>
    <tabular pivotCacheId="169274174">
      <items count="13">
        <i x="8"/>
        <i x="6"/>
        <i x="0" s="1"/>
        <i x="2" s="1"/>
        <i x="4" s="1"/>
        <i x="10" s="1"/>
        <i x="9" s="1"/>
        <i x="7" s="1"/>
        <i x="3"/>
        <i x="11" s="1"/>
        <i x="5" s="1"/>
        <i x="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2" xr10:uid="{04911171-98C6-4972-AAB5-CAFD3685D509}" cache="Slicer_Sub_Category2" caption="Sub-Category" startItem="15" style="SlicerStyleOther1" rowHeight="234950"/>
  <slicer name="Category" xr10:uid="{652AD298-92B3-4C0E-AFB9-3CA27CF73C9F}" cache="Slicer_Category" caption="Category"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DA776260-CED8-4C91-A80A-FBC7A82E7120}" cache="Slicer_Sub_Category" caption="Sub-Category" style="SlicerStyleOther1" rowHeight="234950"/>
  <slicer name="Category 1" xr10:uid="{4E8F1189-B2F7-4BA5-A215-C2ADD4E7559E}" cache="Slicer_Category1" caption="Category"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3" xr10:uid="{6D576CA6-ECC2-4781-97AA-B385AEAC7C93}" cache="Slicer_Sub_Category3" caption="Sub-Category" rowHeight="234950"/>
  <slicer name="Purpose" xr10:uid="{CBD71648-9318-42D5-A510-CD9041C9BF37}" cache="Slicer_Purpose" caption="Purpos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4" xr10:uid="{1855A666-1DB5-402A-B9A9-CAE093C5823C}" cache="Slicer_Sub_Category31" caption="Sub-Category" rowHeight="234950"/>
  <slicer name="Purpose 1" xr10:uid="{B81300E3-796A-4861-804F-8FFF1A563014}" cache="Slicer_Purpose1" caption="Purpos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B834C9BB-9286-48D4-A2A6-2A2497FFE9FF}" cache="Slicer_Category21" caption="Category" style="SlicerStyleLight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39A92E3-CA14-43F1-AF20-F25AA50EF956}" cache="Slicer_Category2" caption="Category" style="SlicerStyleLight3"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1" xr10:uid="{D3807489-AB92-4F1A-AF3C-C3C082926A8D}" cache="Slicer_Sub_Category1" caption="Sub-Category" startItem="10" style="SlicerStyleOther1" rowHeight="234950"/>
  <slicer name="Category 3" xr10:uid="{674CDE5C-4858-4FB5-90DD-CCD48A8788B7}" cache="Slicer_Category3" caption="Category" startItem="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179E0B6-F0E7-4F6D-ABC0-9BEA0437267C}" sourceName="Date">
  <pivotTables>
    <pivotTable tabId="18" name="PivotTable1"/>
  </pivotTables>
  <state minimalRefreshVersion="6" lastRefreshVersion="6" pivotCacheId="1898576086"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84A25433-CE90-40D5-99B5-94D9D7831E55}" sourceName="Date">
  <pivotTables>
    <pivotTable tabId="19" name="PivotTable1"/>
  </pivotTables>
  <state minimalRefreshVersion="6" lastRefreshVersion="6" pivotCacheId="1898576086" filterType="unknown">
    <bounds startDate="2024-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1" xr10:uid="{F97C05BC-DDF5-431B-A121-9EEF48B4C3F9}" sourceName="Date">
  <pivotTables>
    <pivotTable tabId="20" name="PivotTable1"/>
  </pivotTables>
  <state minimalRefreshVersion="6" lastRefreshVersion="6" pivotCacheId="1898576086" filterType="dateBetween">
    <selection startDate="2025-01-01T00:00:00" endDate="2025-01-31T00:00:00"/>
    <bounds startDate="2024-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2" xr10:uid="{5C366D76-A80E-4D0F-B79B-0D6E66AB0A4D}" sourceName="Date">
  <pivotTables>
    <pivotTable tabId="21" name="PivotTable1"/>
  </pivotTables>
  <state minimalRefreshVersion="6" lastRefreshVersion="6" pivotCacheId="1898576086" filterType="unknown">
    <bounds startDate="2024-01-01T00:00:00" endDate="2026-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1" xr10:uid="{8342DAE7-28E0-4D7F-B9B7-6738D754506E}" sourceName="Date">
  <pivotTables>
    <pivotTable tabId="24" name="PivotTable1"/>
  </pivotTables>
  <state minimalRefreshVersion="6" lastRefreshVersion="6" pivotCacheId="189857608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7CC3653-6ECD-445E-9237-15295377E5B2}" cache="NativeTimeline_Date12" caption="Date" level="2" selectionLevel="2" scrollPosition="2024-07-23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0AB3750-59B2-4C5A-9C5F-592F8DF5A8DA}" cache="NativeTimeline_Date1" caption="Date" level="2" selectionLevel="2" scrollPosition="2024-04-01T00:00:00" style="TimeSlicerStyleDark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A4AA2CE4-4207-4B6F-80B5-6A2F5410FB52}" cache="NativeTimeline_Date21" caption="Date" level="2" selectionLevel="2" scrollPosition="2024-06-06T00:00:00" style="TimeSlicerStyleDark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5A8B159-9CF6-41C7-9E49-0D2D8D742CB5}" cache="NativeTimeline_Date2" caption="Date" level="2" selectionLevel="2" scrollPosition="2024-06-06T00:00:00" style="TimeSlicerStyleDark3"/>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6398239-2A25-42BB-819D-F63082E7B54C}" cache="NativeTimeline_Date11" caption="Date" level="2" selectionLevel="2" scrollPosition="2024-10-30T00:00:00" style="TimeSlicerStyleDark3"/>
</timeline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11/relationships/timeline" Target="../timelines/timelin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11/relationships/timeline" Target="../timelines/timelin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81216-4563-42E6-B905-B3568157D25E}">
  <dimension ref="A1:H38"/>
  <sheetViews>
    <sheetView topLeftCell="A34" zoomScale="110" zoomScaleNormal="110" workbookViewId="0">
      <selection activeCell="D15" sqref="D15"/>
    </sheetView>
  </sheetViews>
  <sheetFormatPr defaultRowHeight="14.4" x14ac:dyDescent="0.3"/>
  <cols>
    <col min="1" max="1" width="12.6640625" style="3" customWidth="1"/>
    <col min="2" max="2" width="23.6640625" style="53" bestFit="1" customWidth="1"/>
    <col min="3" max="3" width="14.6640625" style="85" customWidth="1"/>
    <col min="4" max="4" width="14.6640625" style="86" customWidth="1"/>
    <col min="5" max="5" width="9.21875" style="56" bestFit="1" customWidth="1"/>
    <col min="6" max="6" width="11.44140625" style="55" bestFit="1" customWidth="1"/>
    <col min="7" max="7" width="87" style="102" customWidth="1"/>
    <col min="8" max="16384" width="8.88671875" style="8"/>
  </cols>
  <sheetData>
    <row r="1" spans="1:7" ht="15" thickBot="1" x14ac:dyDescent="0.35">
      <c r="A1" s="4" t="s">
        <v>42</v>
      </c>
      <c r="B1" s="5" t="s">
        <v>5</v>
      </c>
      <c r="C1" s="57" t="s">
        <v>7</v>
      </c>
      <c r="D1" s="58" t="s">
        <v>6</v>
      </c>
      <c r="E1" s="6" t="s">
        <v>27</v>
      </c>
      <c r="F1" s="7" t="s">
        <v>28</v>
      </c>
      <c r="G1" s="87" t="s">
        <v>18</v>
      </c>
    </row>
    <row r="2" spans="1:7" s="12" customFormat="1" ht="18.600000000000001" customHeight="1" x14ac:dyDescent="0.3">
      <c r="A2" s="209" t="s">
        <v>24</v>
      </c>
      <c r="B2" s="9" t="s">
        <v>8</v>
      </c>
      <c r="C2" s="59">
        <v>560000</v>
      </c>
      <c r="D2" s="60">
        <f>C2/12</f>
        <v>46666.666666666664</v>
      </c>
      <c r="E2" s="10">
        <f>C2/$C$7</f>
        <v>0.35</v>
      </c>
      <c r="F2" s="11"/>
      <c r="G2" s="88" t="s">
        <v>19</v>
      </c>
    </row>
    <row r="3" spans="1:7" s="16" customFormat="1" ht="18.600000000000001" customHeight="1" x14ac:dyDescent="0.3">
      <c r="A3" s="210"/>
      <c r="B3" s="13" t="s">
        <v>4</v>
      </c>
      <c r="C3" s="61">
        <v>26936</v>
      </c>
      <c r="D3" s="62">
        <f t="shared" ref="D3:D8" si="0">C3/12</f>
        <v>2244.6666666666665</v>
      </c>
      <c r="E3" s="14">
        <f>C3/$C$7</f>
        <v>1.6834999999999999E-2</v>
      </c>
      <c r="F3" s="15"/>
      <c r="G3" s="89" t="s">
        <v>49</v>
      </c>
    </row>
    <row r="4" spans="1:7" s="16" customFormat="1" ht="18.600000000000001" customHeight="1" x14ac:dyDescent="0.3">
      <c r="A4" s="210"/>
      <c r="B4" s="13" t="s">
        <v>60</v>
      </c>
      <c r="C4" s="61">
        <f>8.33%*C2</f>
        <v>46648</v>
      </c>
      <c r="D4" s="62">
        <f>C4/12</f>
        <v>3887.3333333333335</v>
      </c>
      <c r="E4" s="14">
        <f>C4/$C$7</f>
        <v>2.9155E-2</v>
      </c>
      <c r="F4" s="15"/>
      <c r="G4" s="89"/>
    </row>
    <row r="5" spans="1:7" s="16" customFormat="1" ht="18.600000000000001" customHeight="1" x14ac:dyDescent="0.3">
      <c r="A5" s="210"/>
      <c r="B5" s="13" t="s">
        <v>61</v>
      </c>
      <c r="C5" s="61">
        <f>3.67%*C2</f>
        <v>20551.999999999996</v>
      </c>
      <c r="D5" s="62">
        <f>C5/12</f>
        <v>1712.6666666666663</v>
      </c>
      <c r="E5" s="14">
        <f>C5/C7</f>
        <v>1.2844999999999997E-2</v>
      </c>
      <c r="F5" s="15"/>
      <c r="G5" s="89"/>
    </row>
    <row r="6" spans="1:7" s="12" customFormat="1" ht="18.600000000000001" customHeight="1" x14ac:dyDescent="0.3">
      <c r="A6" s="210"/>
      <c r="B6" s="17" t="s">
        <v>9</v>
      </c>
      <c r="C6" s="63">
        <v>945864</v>
      </c>
      <c r="D6" s="64">
        <f t="shared" si="0"/>
        <v>78822</v>
      </c>
      <c r="E6" s="18">
        <f t="shared" ref="E6:E12" si="1">C6/$C$7</f>
        <v>0.59116500000000005</v>
      </c>
      <c r="F6" s="15"/>
      <c r="G6" s="90" t="s">
        <v>20</v>
      </c>
    </row>
    <row r="7" spans="1:7" ht="18.600000000000001" customHeight="1" thickBot="1" x14ac:dyDescent="0.35">
      <c r="A7" s="211"/>
      <c r="B7" s="19" t="s">
        <v>10</v>
      </c>
      <c r="C7" s="65">
        <f>SUM(C2:C6)</f>
        <v>1600000</v>
      </c>
      <c r="D7" s="66">
        <f t="shared" si="0"/>
        <v>133333.33333333334</v>
      </c>
      <c r="E7" s="20">
        <f t="shared" si="1"/>
        <v>1</v>
      </c>
      <c r="F7" s="21"/>
      <c r="G7" s="91" t="s">
        <v>48</v>
      </c>
    </row>
    <row r="8" spans="1:7" s="16" customFormat="1" ht="18.600000000000001" customHeight="1" thickBot="1" x14ac:dyDescent="0.35">
      <c r="A8" s="212" t="s">
        <v>13</v>
      </c>
      <c r="B8" s="22" t="s">
        <v>2</v>
      </c>
      <c r="C8" s="67">
        <v>67200</v>
      </c>
      <c r="D8" s="68">
        <f t="shared" si="0"/>
        <v>5600</v>
      </c>
      <c r="E8" s="23">
        <f t="shared" si="1"/>
        <v>4.2000000000000003E-2</v>
      </c>
      <c r="F8" s="11"/>
      <c r="G8" s="92" t="s">
        <v>46</v>
      </c>
    </row>
    <row r="9" spans="1:7" s="16" customFormat="1" ht="18.600000000000001" customHeight="1" x14ac:dyDescent="0.3">
      <c r="A9" s="213"/>
      <c r="B9" s="13" t="s">
        <v>1</v>
      </c>
      <c r="C9" s="67">
        <v>67200</v>
      </c>
      <c r="D9" s="68">
        <f>C9/12</f>
        <v>5600</v>
      </c>
      <c r="E9" s="23">
        <f t="shared" si="1"/>
        <v>4.2000000000000003E-2</v>
      </c>
      <c r="F9" s="15"/>
      <c r="G9" s="92" t="s">
        <v>46</v>
      </c>
    </row>
    <row r="10" spans="1:7" s="16" customFormat="1" ht="18.600000000000001" customHeight="1" x14ac:dyDescent="0.3">
      <c r="A10" s="213"/>
      <c r="B10" s="13" t="s">
        <v>3</v>
      </c>
      <c r="C10" s="61">
        <f>10%*C2</f>
        <v>56000</v>
      </c>
      <c r="D10" s="62">
        <f>C10/12</f>
        <v>4666.666666666667</v>
      </c>
      <c r="E10" s="14">
        <f t="shared" si="1"/>
        <v>3.5000000000000003E-2</v>
      </c>
      <c r="F10" s="15"/>
      <c r="G10" s="93" t="s">
        <v>47</v>
      </c>
    </row>
    <row r="11" spans="1:7" ht="18.600000000000001" customHeight="1" thickBot="1" x14ac:dyDescent="0.35">
      <c r="A11" s="214"/>
      <c r="B11" s="24" t="s">
        <v>12</v>
      </c>
      <c r="C11" s="69">
        <f>C2+C6-C9-C8-C10</f>
        <v>1315464</v>
      </c>
      <c r="D11" s="70">
        <f>C11/12</f>
        <v>109622</v>
      </c>
      <c r="E11" s="25">
        <f t="shared" si="1"/>
        <v>0.82216500000000003</v>
      </c>
      <c r="F11" s="26"/>
      <c r="G11" s="94" t="s">
        <v>50</v>
      </c>
    </row>
    <row r="12" spans="1:7" s="29" customFormat="1" ht="14.4" customHeight="1" x14ac:dyDescent="0.3">
      <c r="A12" s="215" t="s">
        <v>25</v>
      </c>
      <c r="B12" s="27" t="s">
        <v>14</v>
      </c>
      <c r="C12" s="71">
        <f>C11-75000</f>
        <v>1240464</v>
      </c>
      <c r="D12" s="72">
        <f>C12/12</f>
        <v>103372</v>
      </c>
      <c r="E12" s="28">
        <f t="shared" si="1"/>
        <v>0.77529000000000003</v>
      </c>
      <c r="F12" s="11"/>
      <c r="G12" s="95" t="s">
        <v>45</v>
      </c>
    </row>
    <row r="13" spans="1:7" s="32" customFormat="1" x14ac:dyDescent="0.3">
      <c r="A13" s="216"/>
      <c r="B13" s="30" t="s">
        <v>11</v>
      </c>
      <c r="C13" s="73">
        <f>D13*12</f>
        <v>2400</v>
      </c>
      <c r="D13" s="74">
        <v>200</v>
      </c>
      <c r="E13" s="31"/>
      <c r="F13" s="15"/>
      <c r="G13" s="96" t="s">
        <v>51</v>
      </c>
    </row>
    <row r="14" spans="1:7" s="32" customFormat="1" x14ac:dyDescent="0.3">
      <c r="A14" s="216"/>
      <c r="B14" s="30" t="s">
        <v>21</v>
      </c>
      <c r="C14" s="73">
        <f>90000+(C12-1200000)*20%</f>
        <v>98092.800000000003</v>
      </c>
      <c r="D14" s="74">
        <f>C14/12</f>
        <v>8174.4000000000005</v>
      </c>
      <c r="E14" s="31">
        <f>C14/$C$7</f>
        <v>6.1308000000000001E-2</v>
      </c>
      <c r="F14" s="15"/>
      <c r="G14" s="97" t="s">
        <v>52</v>
      </c>
    </row>
    <row r="15" spans="1:7" s="36" customFormat="1" ht="15" thickBot="1" x14ac:dyDescent="0.35">
      <c r="A15" s="217"/>
      <c r="B15" s="33" t="s">
        <v>15</v>
      </c>
      <c r="C15" s="75">
        <f>4%*C14</f>
        <v>3923.712</v>
      </c>
      <c r="D15" s="76">
        <f>C15/12</f>
        <v>326.976</v>
      </c>
      <c r="E15" s="34">
        <f>C15/$C$7</f>
        <v>2.45232E-3</v>
      </c>
      <c r="F15" s="35"/>
      <c r="G15" s="98" t="s">
        <v>23</v>
      </c>
    </row>
    <row r="16" spans="1:7" s="37" customFormat="1" ht="22.8" customHeight="1" x14ac:dyDescent="0.3">
      <c r="A16" s="212" t="s">
        <v>26</v>
      </c>
      <c r="B16" s="30" t="s">
        <v>16</v>
      </c>
      <c r="C16" s="73">
        <f>SUM(C13:C15)</f>
        <v>104416.512</v>
      </c>
      <c r="D16" s="74">
        <f>C16/12</f>
        <v>8701.3760000000002</v>
      </c>
      <c r="E16" s="31">
        <f>C16/$C$7</f>
        <v>6.5260319999999997E-2</v>
      </c>
      <c r="F16" s="15"/>
      <c r="G16" s="97" t="s">
        <v>22</v>
      </c>
    </row>
    <row r="17" spans="1:8" s="16" customFormat="1" ht="22.8" customHeight="1" x14ac:dyDescent="0.3">
      <c r="A17" s="213"/>
      <c r="B17" s="13" t="s">
        <v>17</v>
      </c>
      <c r="C17" s="61">
        <f>C3+C8+C9+C10</f>
        <v>217336</v>
      </c>
      <c r="D17" s="62">
        <f>C17/12</f>
        <v>18111.333333333332</v>
      </c>
      <c r="E17" s="14">
        <f>C17/$C$7</f>
        <v>0.13583500000000001</v>
      </c>
      <c r="F17" s="15"/>
      <c r="G17" s="93" t="s">
        <v>44</v>
      </c>
    </row>
    <row r="18" spans="1:8" s="12" customFormat="1" ht="22.8" customHeight="1" thickBot="1" x14ac:dyDescent="0.35">
      <c r="A18" s="214"/>
      <c r="B18" s="17" t="s">
        <v>77</v>
      </c>
      <c r="C18" s="63">
        <f>C2+C6-C8-C9-C10-C16</f>
        <v>1211047.4879999999</v>
      </c>
      <c r="D18" s="64">
        <f>C18/12</f>
        <v>100920.624</v>
      </c>
      <c r="E18" s="18">
        <f>C18/$C$7</f>
        <v>0.75690467999999989</v>
      </c>
      <c r="F18" s="15"/>
      <c r="G18" s="38" t="s">
        <v>41</v>
      </c>
      <c r="H18" s="38" t="s">
        <v>41</v>
      </c>
    </row>
    <row r="19" spans="1:8" s="42" customFormat="1" ht="14.4" customHeight="1" x14ac:dyDescent="0.3">
      <c r="A19" s="218" t="s">
        <v>58</v>
      </c>
      <c r="B19" s="39" t="s">
        <v>30</v>
      </c>
      <c r="C19" s="77">
        <f>D19*12</f>
        <v>240000</v>
      </c>
      <c r="D19" s="78">
        <v>20000</v>
      </c>
      <c r="E19" s="40"/>
      <c r="F19" s="41">
        <f t="shared" ref="F19:F33" si="2">C19/$C$18</f>
        <v>0.19817554833985174</v>
      </c>
      <c r="G19" s="99" t="s">
        <v>39</v>
      </c>
    </row>
    <row r="20" spans="1:8" s="42" customFormat="1" x14ac:dyDescent="0.3">
      <c r="A20" s="219"/>
      <c r="B20" s="43" t="s">
        <v>53</v>
      </c>
      <c r="C20" s="79">
        <f>D20*12</f>
        <v>12000</v>
      </c>
      <c r="D20" s="80">
        <v>1000</v>
      </c>
      <c r="E20" s="44"/>
      <c r="F20" s="45">
        <f t="shared" si="2"/>
        <v>9.9087774169925869E-3</v>
      </c>
      <c r="G20" s="99" t="s">
        <v>184</v>
      </c>
    </row>
    <row r="21" spans="1:8" s="42" customFormat="1" x14ac:dyDescent="0.3">
      <c r="A21" s="219"/>
      <c r="B21" s="43" t="s">
        <v>31</v>
      </c>
      <c r="C21" s="79">
        <f>D21*12</f>
        <v>8000</v>
      </c>
      <c r="D21" s="80">
        <f>2000/3</f>
        <v>666.66666666666663</v>
      </c>
      <c r="E21" s="44"/>
      <c r="F21" s="45">
        <f t="shared" si="2"/>
        <v>6.6058516113283909E-3</v>
      </c>
      <c r="G21" s="99" t="s">
        <v>39</v>
      </c>
    </row>
    <row r="22" spans="1:8" s="42" customFormat="1" x14ac:dyDescent="0.3">
      <c r="A22" s="219"/>
      <c r="B22" s="43" t="s">
        <v>32</v>
      </c>
      <c r="C22" s="79">
        <f t="shared" ref="C22:C32" si="3">D22*12</f>
        <v>8000</v>
      </c>
      <c r="D22" s="80">
        <f>2000/3</f>
        <v>666.66666666666663</v>
      </c>
      <c r="E22" s="44"/>
      <c r="F22" s="45">
        <f t="shared" si="2"/>
        <v>6.6058516113283909E-3</v>
      </c>
      <c r="G22" s="99" t="s">
        <v>39</v>
      </c>
    </row>
    <row r="23" spans="1:8" s="42" customFormat="1" x14ac:dyDescent="0.3">
      <c r="A23" s="219"/>
      <c r="B23" s="43" t="s">
        <v>33</v>
      </c>
      <c r="C23" s="79">
        <f t="shared" si="3"/>
        <v>24000</v>
      </c>
      <c r="D23" s="80">
        <v>2000</v>
      </c>
      <c r="E23" s="44"/>
      <c r="F23" s="45">
        <f t="shared" si="2"/>
        <v>1.9817554833985174E-2</v>
      </c>
      <c r="G23" s="99" t="s">
        <v>238</v>
      </c>
    </row>
    <row r="24" spans="1:8" s="42" customFormat="1" x14ac:dyDescent="0.3">
      <c r="A24" s="219"/>
      <c r="B24" s="43" t="s">
        <v>34</v>
      </c>
      <c r="C24" s="79">
        <f t="shared" si="3"/>
        <v>60000</v>
      </c>
      <c r="D24" s="80">
        <v>5000</v>
      </c>
      <c r="E24" s="44"/>
      <c r="F24" s="45">
        <f t="shared" si="2"/>
        <v>4.9543887084962934E-2</v>
      </c>
      <c r="G24" s="99" t="s">
        <v>108</v>
      </c>
    </row>
    <row r="25" spans="1:8" s="42" customFormat="1" x14ac:dyDescent="0.3">
      <c r="A25" s="219"/>
      <c r="B25" s="43" t="s">
        <v>35</v>
      </c>
      <c r="C25" s="79">
        <f>D25*12</f>
        <v>120000</v>
      </c>
      <c r="D25" s="80">
        <f>500*20</f>
        <v>10000</v>
      </c>
      <c r="E25" s="44"/>
      <c r="F25" s="45">
        <f t="shared" si="2"/>
        <v>9.9087774169925869E-2</v>
      </c>
      <c r="G25" s="99" t="s">
        <v>43</v>
      </c>
    </row>
    <row r="26" spans="1:8" s="42" customFormat="1" x14ac:dyDescent="0.3">
      <c r="A26" s="219"/>
      <c r="B26" s="43" t="s">
        <v>213</v>
      </c>
      <c r="C26" s="79">
        <f>D26*12</f>
        <v>12000</v>
      </c>
      <c r="D26" s="80">
        <f>100*10</f>
        <v>1000</v>
      </c>
      <c r="E26" s="44"/>
      <c r="F26" s="45">
        <f t="shared" si="2"/>
        <v>9.9087774169925869E-3</v>
      </c>
      <c r="G26" s="99" t="s">
        <v>40</v>
      </c>
    </row>
    <row r="27" spans="1:8" s="42" customFormat="1" x14ac:dyDescent="0.3">
      <c r="A27" s="219"/>
      <c r="B27" s="43" t="s">
        <v>37</v>
      </c>
      <c r="C27" s="79">
        <f>D27*12</f>
        <v>18000</v>
      </c>
      <c r="D27" s="80">
        <v>1500</v>
      </c>
      <c r="E27" s="44"/>
      <c r="F27" s="45">
        <f t="shared" si="2"/>
        <v>1.486316612548888E-2</v>
      </c>
      <c r="G27" s="99" t="s">
        <v>38</v>
      </c>
    </row>
    <row r="28" spans="1:8" s="42" customFormat="1" x14ac:dyDescent="0.3">
      <c r="A28" s="219"/>
      <c r="B28" s="43" t="s">
        <v>54</v>
      </c>
      <c r="C28" s="79">
        <f>D28*12</f>
        <v>12000</v>
      </c>
      <c r="D28" s="80">
        <v>1000</v>
      </c>
      <c r="E28" s="44"/>
      <c r="F28" s="45">
        <f t="shared" si="2"/>
        <v>9.9087774169925869E-3</v>
      </c>
      <c r="G28" s="99" t="s">
        <v>38</v>
      </c>
    </row>
    <row r="29" spans="1:8" s="42" customFormat="1" x14ac:dyDescent="0.3">
      <c r="A29" s="219"/>
      <c r="B29" s="43" t="s">
        <v>59</v>
      </c>
      <c r="C29" s="79">
        <f>1300</f>
        <v>1300</v>
      </c>
      <c r="D29" s="80">
        <f>C29/12</f>
        <v>108.33333333333333</v>
      </c>
      <c r="E29" s="44"/>
      <c r="F29" s="45">
        <f t="shared" si="2"/>
        <v>1.0734508868408636E-3</v>
      </c>
      <c r="G29" s="99" t="s">
        <v>38</v>
      </c>
    </row>
    <row r="30" spans="1:8" s="42" customFormat="1" x14ac:dyDescent="0.3">
      <c r="A30" s="219"/>
      <c r="B30" s="43" t="s">
        <v>119</v>
      </c>
      <c r="C30" s="79">
        <f>45000</f>
        <v>45000</v>
      </c>
      <c r="D30" s="80">
        <f>C30/12</f>
        <v>3750</v>
      </c>
      <c r="E30" s="44"/>
      <c r="F30" s="45">
        <f t="shared" si="2"/>
        <v>3.7157915313722201E-2</v>
      </c>
      <c r="G30" s="99" t="s">
        <v>212</v>
      </c>
    </row>
    <row r="31" spans="1:8" s="113" customFormat="1" ht="15" thickBot="1" x14ac:dyDescent="0.35">
      <c r="A31" s="220"/>
      <c r="B31" s="108" t="s">
        <v>36</v>
      </c>
      <c r="C31" s="109">
        <f t="shared" si="3"/>
        <v>560300</v>
      </c>
      <c r="D31" s="110">
        <f>SUM(D19:D30)</f>
        <v>46691.666666666672</v>
      </c>
      <c r="E31" s="46"/>
      <c r="F31" s="111">
        <f t="shared" si="2"/>
        <v>0.46265733222841221</v>
      </c>
      <c r="G31" s="112" t="s">
        <v>57</v>
      </c>
    </row>
    <row r="32" spans="1:8" s="49" customFormat="1" ht="15" thickBot="1" x14ac:dyDescent="0.35">
      <c r="A32" s="205" t="s">
        <v>29</v>
      </c>
      <c r="B32" s="206"/>
      <c r="C32" s="81">
        <f t="shared" si="3"/>
        <v>240000</v>
      </c>
      <c r="D32" s="82">
        <v>20000</v>
      </c>
      <c r="E32" s="47"/>
      <c r="F32" s="48">
        <f t="shared" si="2"/>
        <v>0.19817554833985174</v>
      </c>
      <c r="G32" s="100" t="s">
        <v>56</v>
      </c>
    </row>
    <row r="33" spans="1:7" s="52" customFormat="1" ht="15" thickBot="1" x14ac:dyDescent="0.35">
      <c r="A33" s="207" t="s">
        <v>62</v>
      </c>
      <c r="B33" s="208"/>
      <c r="C33" s="83">
        <f>D33*12</f>
        <v>410747.4879999999</v>
      </c>
      <c r="D33" s="84">
        <f>D18-D31-D32</f>
        <v>34228.957333333325</v>
      </c>
      <c r="E33" s="50"/>
      <c r="F33" s="51">
        <f t="shared" si="2"/>
        <v>0.33916711943173605</v>
      </c>
      <c r="G33" s="101" t="s">
        <v>55</v>
      </c>
    </row>
    <row r="34" spans="1:7" x14ac:dyDescent="0.3">
      <c r="E34" s="54"/>
    </row>
    <row r="35" spans="1:7" x14ac:dyDescent="0.3">
      <c r="E35" s="54"/>
    </row>
    <row r="36" spans="1:7" x14ac:dyDescent="0.3">
      <c r="E36" s="54"/>
    </row>
    <row r="37" spans="1:7" x14ac:dyDescent="0.3">
      <c r="E37" s="54"/>
    </row>
    <row r="38" spans="1:7" x14ac:dyDescent="0.3">
      <c r="E38" s="54"/>
    </row>
  </sheetData>
  <mergeCells count="7">
    <mergeCell ref="A32:B32"/>
    <mergeCell ref="A33:B33"/>
    <mergeCell ref="A2:A7"/>
    <mergeCell ref="A8:A11"/>
    <mergeCell ref="A12:A15"/>
    <mergeCell ref="A16:A18"/>
    <mergeCell ref="A19:A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05DE-BC36-42C5-A16D-FE01C463E586}">
  <dimension ref="A3:B9"/>
  <sheetViews>
    <sheetView zoomScale="110" zoomScaleNormal="110" workbookViewId="0">
      <selection activeCell="C9" sqref="C9"/>
    </sheetView>
  </sheetViews>
  <sheetFormatPr defaultRowHeight="14.4" x14ac:dyDescent="0.3"/>
  <cols>
    <col min="1" max="1" width="12.5546875" bestFit="1" customWidth="1"/>
    <col min="2" max="2" width="14.44140625" bestFit="1" customWidth="1"/>
    <col min="3" max="3" width="12" bestFit="1" customWidth="1"/>
    <col min="4" max="4" width="9" bestFit="1" customWidth="1"/>
    <col min="5" max="6" width="12" bestFit="1" customWidth="1"/>
    <col min="7" max="8" width="5" bestFit="1" customWidth="1"/>
    <col min="9" max="9" width="6" bestFit="1" customWidth="1"/>
    <col min="10" max="11" width="3" bestFit="1" customWidth="1"/>
    <col min="12" max="12" width="4" bestFit="1" customWidth="1"/>
    <col min="13" max="13" width="3" bestFit="1" customWidth="1"/>
    <col min="14" max="14" width="4" bestFit="1" customWidth="1"/>
    <col min="15" max="16" width="3" bestFit="1" customWidth="1"/>
    <col min="17" max="17" width="4" bestFit="1" customWidth="1"/>
    <col min="18" max="18" width="3" bestFit="1" customWidth="1"/>
    <col min="19" max="19" width="4" bestFit="1" customWidth="1"/>
    <col min="20"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 x14ac:dyDescent="0.3">
      <c r="A3" s="156" t="s">
        <v>105</v>
      </c>
      <c r="B3" t="s">
        <v>104</v>
      </c>
    </row>
    <row r="4" spans="1:2" x14ac:dyDescent="0.3">
      <c r="A4" s="157" t="s">
        <v>29</v>
      </c>
      <c r="B4">
        <v>258000</v>
      </c>
    </row>
    <row r="5" spans="1:2" x14ac:dyDescent="0.3">
      <c r="A5" s="157" t="s">
        <v>221</v>
      </c>
      <c r="B5">
        <v>287721.8833333333</v>
      </c>
    </row>
    <row r="6" spans="1:2" x14ac:dyDescent="0.3">
      <c r="A6" s="157" t="s">
        <v>220</v>
      </c>
      <c r="B6">
        <v>410217.20999999996</v>
      </c>
    </row>
    <row r="7" spans="1:2" x14ac:dyDescent="0.3">
      <c r="A7" s="157" t="s">
        <v>181</v>
      </c>
    </row>
    <row r="8" spans="1:2" x14ac:dyDescent="0.3">
      <c r="A8" s="157" t="s">
        <v>595</v>
      </c>
    </row>
    <row r="9" spans="1:2" x14ac:dyDescent="0.3">
      <c r="A9" s="157" t="s">
        <v>106</v>
      </c>
      <c r="B9">
        <v>955939.09333333327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5D0E-88FE-426B-9EEC-120F2A0566E1}">
  <dimension ref="A3:B18"/>
  <sheetViews>
    <sheetView zoomScaleNormal="100" workbookViewId="0">
      <selection activeCell="B30" sqref="B30"/>
    </sheetView>
  </sheetViews>
  <sheetFormatPr defaultRowHeight="14.4" x14ac:dyDescent="0.3"/>
  <cols>
    <col min="1" max="1" width="16.21875" bestFit="1" customWidth="1"/>
    <col min="2" max="2" width="14.44140625" bestFit="1" customWidth="1"/>
    <col min="3" max="3" width="9" bestFit="1" customWidth="1"/>
    <col min="4" max="4" width="6" bestFit="1" customWidth="1"/>
    <col min="5" max="5" width="10" bestFit="1" customWidth="1"/>
    <col min="6" max="6" width="9.44140625" bestFit="1" customWidth="1"/>
    <col min="7" max="8" width="12" bestFit="1" customWidth="1"/>
    <col min="9" max="9" width="6" bestFit="1" customWidth="1"/>
    <col min="10" max="10" width="15.21875" bestFit="1" customWidth="1"/>
    <col min="11" max="11" width="10.6640625" bestFit="1" customWidth="1"/>
    <col min="12" max="12" width="14.6640625" bestFit="1" customWidth="1"/>
    <col min="13" max="13" width="12" bestFit="1" customWidth="1"/>
    <col min="14" max="14" width="6.44140625" bestFit="1" customWidth="1"/>
    <col min="15" max="15" width="16.88671875" bestFit="1" customWidth="1"/>
    <col min="16" max="16" width="12" bestFit="1" customWidth="1"/>
    <col min="17" max="17" width="6.109375" bestFit="1" customWidth="1"/>
    <col min="18" max="18" width="7.6640625" bestFit="1" customWidth="1"/>
    <col min="19" max="20" width="7" bestFit="1" customWidth="1"/>
    <col min="21" max="21" width="12" bestFit="1" customWidth="1"/>
    <col min="22"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 x14ac:dyDescent="0.3">
      <c r="A3" s="156" t="s">
        <v>105</v>
      </c>
      <c r="B3" t="s">
        <v>104</v>
      </c>
    </row>
    <row r="4" spans="1:2" x14ac:dyDescent="0.3">
      <c r="A4" s="157" t="s">
        <v>146</v>
      </c>
      <c r="B4">
        <v>150</v>
      </c>
    </row>
    <row r="5" spans="1:2" x14ac:dyDescent="0.3">
      <c r="A5" s="157" t="s">
        <v>81</v>
      </c>
      <c r="B5">
        <v>13315.333333333334</v>
      </c>
    </row>
    <row r="6" spans="1:2" x14ac:dyDescent="0.3">
      <c r="A6" s="157" t="s">
        <v>188</v>
      </c>
      <c r="B6">
        <v>5375</v>
      </c>
    </row>
    <row r="7" spans="1:2" x14ac:dyDescent="0.3">
      <c r="A7" s="157" t="s">
        <v>215</v>
      </c>
      <c r="B7">
        <v>5373.34</v>
      </c>
    </row>
    <row r="8" spans="1:2" x14ac:dyDescent="0.3">
      <c r="A8" s="157" t="s">
        <v>34</v>
      </c>
      <c r="B8">
        <v>2732.666666666667</v>
      </c>
    </row>
    <row r="9" spans="1:2" x14ac:dyDescent="0.3">
      <c r="A9" s="157" t="s">
        <v>217</v>
      </c>
      <c r="B9">
        <v>35000</v>
      </c>
    </row>
    <row r="10" spans="1:2" x14ac:dyDescent="0.3">
      <c r="A10" s="157" t="s">
        <v>82</v>
      </c>
      <c r="B10">
        <v>534</v>
      </c>
    </row>
    <row r="11" spans="1:2" x14ac:dyDescent="0.3">
      <c r="A11" s="157" t="s">
        <v>35</v>
      </c>
      <c r="B11">
        <v>2424</v>
      </c>
    </row>
    <row r="12" spans="1:2" x14ac:dyDescent="0.3">
      <c r="A12" s="157" t="s">
        <v>213</v>
      </c>
      <c r="B12">
        <v>885</v>
      </c>
    </row>
    <row r="13" spans="1:2" x14ac:dyDescent="0.3">
      <c r="A13" s="157" t="s">
        <v>30</v>
      </c>
      <c r="B13">
        <v>20666.666666666668</v>
      </c>
    </row>
    <row r="14" spans="1:2" x14ac:dyDescent="0.3">
      <c r="A14" s="157" t="s">
        <v>54</v>
      </c>
      <c r="B14">
        <v>148</v>
      </c>
    </row>
    <row r="15" spans="1:2" x14ac:dyDescent="0.3">
      <c r="A15" s="157" t="s">
        <v>84</v>
      </c>
      <c r="B15">
        <v>340</v>
      </c>
    </row>
    <row r="16" spans="1:2" x14ac:dyDescent="0.3">
      <c r="A16" s="157" t="s">
        <v>119</v>
      </c>
      <c r="B16">
        <v>18028.166666666668</v>
      </c>
    </row>
    <row r="17" spans="1:2" x14ac:dyDescent="0.3">
      <c r="A17" s="157" t="s">
        <v>83</v>
      </c>
      <c r="B17">
        <v>2984</v>
      </c>
    </row>
    <row r="18" spans="1:2" x14ac:dyDescent="0.3">
      <c r="A18" s="157" t="s">
        <v>106</v>
      </c>
      <c r="B18">
        <v>107956.17333333334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B055-56E1-4386-9D5B-E4AFEFEB3A4F}">
  <dimension ref="A1:T27"/>
  <sheetViews>
    <sheetView workbookViewId="0">
      <selection activeCell="S22" sqref="S22"/>
    </sheetView>
  </sheetViews>
  <sheetFormatPr defaultRowHeight="14.4" x14ac:dyDescent="0.3"/>
  <cols>
    <col min="1" max="1" width="14.44140625" bestFit="1" customWidth="1"/>
    <col min="2" max="2" width="22.77734375" bestFit="1" customWidth="1"/>
  </cols>
  <sheetData>
    <row r="1" spans="1:20" ht="15" thickBot="1" x14ac:dyDescent="0.35">
      <c r="A1" s="104" t="s">
        <v>42</v>
      </c>
      <c r="B1" s="105" t="s">
        <v>89</v>
      </c>
      <c r="C1" s="106" t="s">
        <v>64</v>
      </c>
    </row>
    <row r="2" spans="1:20" x14ac:dyDescent="0.3">
      <c r="A2" s="114" t="s">
        <v>25</v>
      </c>
      <c r="B2" s="115" t="s">
        <v>86</v>
      </c>
      <c r="C2" s="116">
        <f>'Detailed Budget'!C14</f>
        <v>98092.800000000003</v>
      </c>
    </row>
    <row r="3" spans="1:20" x14ac:dyDescent="0.3">
      <c r="A3" s="117" t="s">
        <v>25</v>
      </c>
      <c r="B3" s="118" t="s">
        <v>15</v>
      </c>
      <c r="C3" s="119">
        <f>'Detailed Budget'!C15</f>
        <v>3923.712</v>
      </c>
    </row>
    <row r="4" spans="1:20" ht="15" thickBot="1" x14ac:dyDescent="0.35">
      <c r="A4" s="120" t="s">
        <v>25</v>
      </c>
      <c r="B4" s="121" t="s">
        <v>11</v>
      </c>
      <c r="C4" s="122">
        <f>'Detailed Budget'!C13</f>
        <v>2400</v>
      </c>
    </row>
    <row r="5" spans="1:20" x14ac:dyDescent="0.3">
      <c r="A5" s="123" t="s">
        <v>13</v>
      </c>
      <c r="B5" s="124" t="s">
        <v>4</v>
      </c>
      <c r="C5" s="125">
        <f>'Detailed Budget'!C3</f>
        <v>26936</v>
      </c>
    </row>
    <row r="6" spans="1:20" x14ac:dyDescent="0.3">
      <c r="A6" s="126" t="s">
        <v>13</v>
      </c>
      <c r="B6" s="127" t="s">
        <v>87</v>
      </c>
      <c r="C6" s="128">
        <f>'Detailed Budget'!C4</f>
        <v>46648</v>
      </c>
    </row>
    <row r="7" spans="1:20" x14ac:dyDescent="0.3">
      <c r="A7" s="126" t="s">
        <v>13</v>
      </c>
      <c r="B7" s="127" t="s">
        <v>88</v>
      </c>
      <c r="C7" s="128">
        <f>'Detailed Budget'!C5</f>
        <v>20551.999999999996</v>
      </c>
    </row>
    <row r="8" spans="1:20" x14ac:dyDescent="0.3">
      <c r="A8" s="126" t="s">
        <v>13</v>
      </c>
      <c r="B8" s="127" t="s">
        <v>1</v>
      </c>
      <c r="C8" s="128">
        <f>'Detailed Budget'!C8</f>
        <v>67200</v>
      </c>
    </row>
    <row r="9" spans="1:20" x14ac:dyDescent="0.3">
      <c r="A9" s="126" t="s">
        <v>13</v>
      </c>
      <c r="B9" s="127" t="s">
        <v>2</v>
      </c>
      <c r="C9" s="128">
        <f>'Detailed Budget'!C9</f>
        <v>67200</v>
      </c>
      <c r="T9" t="s">
        <v>108</v>
      </c>
    </row>
    <row r="10" spans="1:20" ht="15" thickBot="1" x14ac:dyDescent="0.35">
      <c r="A10" s="129" t="s">
        <v>13</v>
      </c>
      <c r="B10" s="130" t="s">
        <v>3</v>
      </c>
      <c r="C10" s="131">
        <f>'Detailed Budget'!C10</f>
        <v>56000</v>
      </c>
    </row>
    <row r="11" spans="1:20" ht="15" thickBot="1" x14ac:dyDescent="0.35">
      <c r="A11" s="126" t="s">
        <v>13</v>
      </c>
      <c r="B11" s="127" t="s">
        <v>93</v>
      </c>
      <c r="C11" s="128">
        <f>5000*12</f>
        <v>60000</v>
      </c>
    </row>
    <row r="12" spans="1:20" x14ac:dyDescent="0.3">
      <c r="A12" s="132" t="s">
        <v>58</v>
      </c>
      <c r="B12" s="133" t="s">
        <v>30</v>
      </c>
      <c r="C12" s="134">
        <f>'Detailed Budget'!C19</f>
        <v>240000</v>
      </c>
    </row>
    <row r="13" spans="1:20" x14ac:dyDescent="0.3">
      <c r="A13" s="135" t="s">
        <v>58</v>
      </c>
      <c r="B13" s="136" t="s">
        <v>53</v>
      </c>
      <c r="C13" s="137">
        <f>'Detailed Budget'!C20</f>
        <v>12000</v>
      </c>
    </row>
    <row r="14" spans="1:20" x14ac:dyDescent="0.3">
      <c r="A14" s="135" t="s">
        <v>58</v>
      </c>
      <c r="B14" s="136" t="s">
        <v>31</v>
      </c>
      <c r="C14" s="137">
        <f>'Detailed Budget'!C21</f>
        <v>8000</v>
      </c>
    </row>
    <row r="15" spans="1:20" x14ac:dyDescent="0.3">
      <c r="A15" s="135" t="s">
        <v>58</v>
      </c>
      <c r="B15" s="136" t="s">
        <v>32</v>
      </c>
      <c r="C15" s="137">
        <f>'Detailed Budget'!C22</f>
        <v>8000</v>
      </c>
    </row>
    <row r="16" spans="1:20" x14ac:dyDescent="0.3">
      <c r="A16" s="135" t="s">
        <v>58</v>
      </c>
      <c r="B16" s="136" t="s">
        <v>34</v>
      </c>
      <c r="C16" s="137">
        <f>'Detailed Budget'!C24</f>
        <v>60000</v>
      </c>
    </row>
    <row r="17" spans="1:3" x14ac:dyDescent="0.3">
      <c r="A17" s="135" t="s">
        <v>58</v>
      </c>
      <c r="B17" s="136" t="s">
        <v>35</v>
      </c>
      <c r="C17" s="137">
        <f>'Detailed Budget'!C25</f>
        <v>120000</v>
      </c>
    </row>
    <row r="18" spans="1:3" x14ac:dyDescent="0.3">
      <c r="A18" s="135" t="s">
        <v>58</v>
      </c>
      <c r="B18" s="136" t="s">
        <v>213</v>
      </c>
      <c r="C18" s="137">
        <f>'Detailed Budget'!C26</f>
        <v>12000</v>
      </c>
    </row>
    <row r="19" spans="1:3" x14ac:dyDescent="0.3">
      <c r="A19" s="135" t="s">
        <v>58</v>
      </c>
      <c r="B19" s="136" t="s">
        <v>37</v>
      </c>
      <c r="C19" s="137">
        <f>'Detailed Budget'!C27</f>
        <v>18000</v>
      </c>
    </row>
    <row r="20" spans="1:3" x14ac:dyDescent="0.3">
      <c r="A20" s="135" t="s">
        <v>58</v>
      </c>
      <c r="B20" s="136" t="s">
        <v>54</v>
      </c>
      <c r="C20" s="137">
        <f>'Detailed Budget'!C28</f>
        <v>12000</v>
      </c>
    </row>
    <row r="21" spans="1:3" ht="15" thickBot="1" x14ac:dyDescent="0.35">
      <c r="A21" s="138" t="s">
        <v>58</v>
      </c>
      <c r="B21" s="139" t="s">
        <v>59</v>
      </c>
      <c r="C21" s="140">
        <f>'Detailed Budget'!C28</f>
        <v>12000</v>
      </c>
    </row>
    <row r="22" spans="1:3" ht="15" thickBot="1" x14ac:dyDescent="0.35">
      <c r="A22" s="138" t="s">
        <v>58</v>
      </c>
      <c r="B22" s="139" t="s">
        <v>119</v>
      </c>
      <c r="C22" s="140">
        <v>45000</v>
      </c>
    </row>
    <row r="23" spans="1:3" x14ac:dyDescent="0.3">
      <c r="A23" s="141" t="s">
        <v>29</v>
      </c>
      <c r="B23" s="142" t="s">
        <v>92</v>
      </c>
      <c r="C23" s="143">
        <f>6000*12</f>
        <v>72000</v>
      </c>
    </row>
    <row r="24" spans="1:3" x14ac:dyDescent="0.3">
      <c r="A24" s="144" t="s">
        <v>29</v>
      </c>
      <c r="B24" s="145" t="s">
        <v>90</v>
      </c>
      <c r="C24" s="146">
        <f>5000*12</f>
        <v>60000</v>
      </c>
    </row>
    <row r="25" spans="1:3" x14ac:dyDescent="0.3">
      <c r="A25" s="144" t="s">
        <v>29</v>
      </c>
      <c r="B25" s="145" t="s">
        <v>91</v>
      </c>
      <c r="C25" s="146">
        <f>4000*12</f>
        <v>48000</v>
      </c>
    </row>
    <row r="26" spans="1:3" ht="15" thickBot="1" x14ac:dyDescent="0.35">
      <c r="A26" s="147" t="s">
        <v>29</v>
      </c>
      <c r="B26" s="148" t="s">
        <v>94</v>
      </c>
      <c r="C26" s="149">
        <f>'Detailed Budget'!C32-SUM(C23:C25)-C11</f>
        <v>0</v>
      </c>
    </row>
    <row r="27" spans="1:3" ht="15" thickBot="1" x14ac:dyDescent="0.35">
      <c r="A27" s="150" t="s">
        <v>95</v>
      </c>
      <c r="B27" s="150" t="s">
        <v>95</v>
      </c>
      <c r="C27" s="151">
        <f>'Detailed Budget'!C33</f>
        <v>410747.4879999999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727A-735D-47DD-88A0-5F0798AA938A}">
  <dimension ref="A1:E23"/>
  <sheetViews>
    <sheetView workbookViewId="0">
      <selection activeCell="A12" sqref="A12"/>
    </sheetView>
  </sheetViews>
  <sheetFormatPr defaultRowHeight="14.4" x14ac:dyDescent="0.3"/>
  <cols>
    <col min="1" max="1" width="22.5546875" bestFit="1" customWidth="1"/>
    <col min="2" max="3" width="10.88671875" bestFit="1" customWidth="1"/>
    <col min="4" max="4" width="11.44140625" bestFit="1" customWidth="1"/>
    <col min="5" max="5" width="19.44140625" customWidth="1"/>
  </cols>
  <sheetData>
    <row r="1" spans="1:2" x14ac:dyDescent="0.3">
      <c r="A1" s="203" t="s">
        <v>30</v>
      </c>
      <c r="B1" s="204" t="s">
        <v>221</v>
      </c>
    </row>
    <row r="2" spans="1:2" x14ac:dyDescent="0.3">
      <c r="A2" s="107" t="s">
        <v>53</v>
      </c>
      <c r="B2" s="1" t="s">
        <v>221</v>
      </c>
    </row>
    <row r="3" spans="1:2" x14ac:dyDescent="0.3">
      <c r="A3" s="107" t="s">
        <v>32</v>
      </c>
      <c r="B3" s="1" t="s">
        <v>221</v>
      </c>
    </row>
    <row r="4" spans="1:2" x14ac:dyDescent="0.3">
      <c r="A4" s="107" t="s">
        <v>34</v>
      </c>
      <c r="B4" s="1" t="s">
        <v>221</v>
      </c>
    </row>
    <row r="5" spans="1:2" x14ac:dyDescent="0.3">
      <c r="A5" s="107" t="s">
        <v>35</v>
      </c>
      <c r="B5" s="1" t="s">
        <v>221</v>
      </c>
    </row>
    <row r="6" spans="1:2" x14ac:dyDescent="0.3">
      <c r="A6" s="107" t="s">
        <v>213</v>
      </c>
      <c r="B6" s="1" t="s">
        <v>221</v>
      </c>
    </row>
    <row r="7" spans="1:2" x14ac:dyDescent="0.3">
      <c r="A7" s="107" t="s">
        <v>82</v>
      </c>
      <c r="B7" s="1" t="s">
        <v>221</v>
      </c>
    </row>
    <row r="8" spans="1:2" x14ac:dyDescent="0.3">
      <c r="A8" s="107" t="s">
        <v>54</v>
      </c>
      <c r="B8" s="1" t="s">
        <v>220</v>
      </c>
    </row>
    <row r="9" spans="1:2" x14ac:dyDescent="0.3">
      <c r="A9" s="107" t="s">
        <v>59</v>
      </c>
      <c r="B9" s="1" t="s">
        <v>221</v>
      </c>
    </row>
    <row r="10" spans="1:2" x14ac:dyDescent="0.3">
      <c r="A10" s="107" t="s">
        <v>33</v>
      </c>
      <c r="B10" s="1" t="s">
        <v>221</v>
      </c>
    </row>
    <row r="11" spans="1:2" x14ac:dyDescent="0.3">
      <c r="A11" s="107" t="s">
        <v>146</v>
      </c>
      <c r="B11" s="1" t="s">
        <v>221</v>
      </c>
    </row>
    <row r="12" spans="1:2" ht="15" thickBot="1" x14ac:dyDescent="0.35">
      <c r="A12" s="196" t="s">
        <v>119</v>
      </c>
      <c r="B12" s="201" t="s">
        <v>221</v>
      </c>
    </row>
    <row r="13" spans="1:2" x14ac:dyDescent="0.3">
      <c r="A13" s="203" t="s">
        <v>83</v>
      </c>
      <c r="B13" s="204" t="s">
        <v>220</v>
      </c>
    </row>
    <row r="14" spans="1:2" x14ac:dyDescent="0.3">
      <c r="A14" s="107" t="s">
        <v>84</v>
      </c>
      <c r="B14" s="1" t="s">
        <v>220</v>
      </c>
    </row>
    <row r="15" spans="1:2" x14ac:dyDescent="0.3">
      <c r="A15" s="107" t="s">
        <v>203</v>
      </c>
      <c r="B15" s="1" t="s">
        <v>220</v>
      </c>
    </row>
    <row r="16" spans="1:2" x14ac:dyDescent="0.3">
      <c r="A16" s="107" t="s">
        <v>216</v>
      </c>
      <c r="B16" s="1" t="s">
        <v>220</v>
      </c>
    </row>
    <row r="17" spans="1:5" x14ac:dyDescent="0.3">
      <c r="A17" s="107" t="s">
        <v>81</v>
      </c>
      <c r="B17" s="1" t="s">
        <v>220</v>
      </c>
    </row>
    <row r="18" spans="1:5" x14ac:dyDescent="0.3">
      <c r="A18" s="107" t="s">
        <v>188</v>
      </c>
      <c r="B18" s="1" t="s">
        <v>220</v>
      </c>
    </row>
    <row r="19" spans="1:5" x14ac:dyDescent="0.3">
      <c r="A19" s="107" t="s">
        <v>185</v>
      </c>
      <c r="B19" s="1" t="s">
        <v>220</v>
      </c>
    </row>
    <row r="20" spans="1:5" ht="15" thickBot="1" x14ac:dyDescent="0.35">
      <c r="A20" s="196" t="s">
        <v>191</v>
      </c>
      <c r="B20" s="201" t="s">
        <v>220</v>
      </c>
    </row>
    <row r="21" spans="1:5" x14ac:dyDescent="0.3">
      <c r="A21" s="203" t="s">
        <v>217</v>
      </c>
      <c r="B21" s="204" t="s">
        <v>29</v>
      </c>
    </row>
    <row r="22" spans="1:5" x14ac:dyDescent="0.3">
      <c r="A22" s="107" t="s">
        <v>218</v>
      </c>
      <c r="B22" s="1" t="s">
        <v>29</v>
      </c>
      <c r="E22" t="s">
        <v>108</v>
      </c>
    </row>
    <row r="23" spans="1:5" ht="15" thickBot="1" x14ac:dyDescent="0.35">
      <c r="A23" s="196" t="s">
        <v>93</v>
      </c>
      <c r="B23" s="20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3D8A-EC13-4199-9EDE-F0DC1C5165BE}">
  <dimension ref="A1:I1719"/>
  <sheetViews>
    <sheetView tabSelected="1" zoomScale="70" zoomScaleNormal="70" workbookViewId="0">
      <pane ySplit="1" topLeftCell="A842" activePane="bottomLeft" state="frozen"/>
      <selection pane="bottomLeft" activeCell="D866" sqref="D866"/>
    </sheetView>
  </sheetViews>
  <sheetFormatPr defaultRowHeight="14.4" x14ac:dyDescent="0.3"/>
  <cols>
    <col min="1" max="1" width="12.33203125" style="107" bestFit="1" customWidth="1"/>
    <col min="2" max="2" width="9.88671875" style="103" bestFit="1" customWidth="1"/>
    <col min="3" max="3" width="10.44140625" style="162" bestFit="1" customWidth="1"/>
    <col min="4" max="4" width="46" bestFit="1" customWidth="1"/>
    <col min="5" max="5" width="11.33203125" style="2" bestFit="1" customWidth="1"/>
    <col min="6" max="6" width="10.88671875" bestFit="1" customWidth="1"/>
    <col min="7" max="7" width="16.21875" bestFit="1" customWidth="1"/>
    <col min="8" max="8" width="18" style="1" bestFit="1" customWidth="1"/>
    <col min="9" max="9" width="83.33203125" style="1" bestFit="1" customWidth="1"/>
  </cols>
  <sheetData>
    <row r="1" spans="1:9" s="155" customFormat="1" ht="15" thickBot="1" x14ac:dyDescent="0.35">
      <c r="A1" s="158" t="s">
        <v>0</v>
      </c>
      <c r="B1" s="166" t="s">
        <v>63</v>
      </c>
      <c r="C1" s="159" t="s">
        <v>117</v>
      </c>
      <c r="D1" s="180" t="s">
        <v>5</v>
      </c>
      <c r="E1" s="181" t="s">
        <v>64</v>
      </c>
      <c r="F1" s="180" t="s">
        <v>42</v>
      </c>
      <c r="G1" s="180" t="s">
        <v>219</v>
      </c>
      <c r="H1" s="182" t="s">
        <v>471</v>
      </c>
      <c r="I1" s="182" t="s">
        <v>18</v>
      </c>
    </row>
    <row r="2" spans="1:9" s="186" customFormat="1" ht="15" thickBot="1" x14ac:dyDescent="0.35">
      <c r="A2" s="183" t="str">
        <f>_xlfn.CONCAT(YEAR(B2), " ", CHOOSE(MONTH(B2), "01 (Jan)", "02 (Feb)", "03 (Mar)", "04 (Apr)", "05 (May)", "06 (Jun)", "07 (Jul)", "08 (Aug)", "09 (Sep)", "10 (Oct)", "11 (Nov)", "12 (Dec)"))</f>
        <v>2024 08 (Aug)</v>
      </c>
      <c r="B2" s="184">
        <v>45505</v>
      </c>
      <c r="C2" s="185" t="str">
        <f>CHOOSE(WEEKDAY(B2),"Sunday","Monday","Tuesday","Wednesday","Thursday","Friday","Saturday")</f>
        <v>Thursday</v>
      </c>
      <c r="D2" s="186" t="s">
        <v>476</v>
      </c>
      <c r="E2" s="187">
        <f>1068+1069</f>
        <v>2137</v>
      </c>
      <c r="F2" s="186" t="str">
        <f>VLOOKUP(G2,'Expenses Reference'!$A$1:$B$23,2, FALSE)</f>
        <v>Needs</v>
      </c>
      <c r="G2" s="186" t="s">
        <v>119</v>
      </c>
      <c r="H2" s="188" t="s">
        <v>472</v>
      </c>
      <c r="I2" s="188"/>
    </row>
    <row r="3" spans="1:9" s="186" customFormat="1" x14ac:dyDescent="0.3">
      <c r="A3" s="183" t="str">
        <f t="shared" ref="A3:A66" si="0">_xlfn.CONCAT(YEAR(B3), " ", CHOOSE(MONTH(B3), "01 (Jan)", "02 (Feb)", "03 (Mar)", "04 (Apr)", "05 (May)", "06 (Jun)", "07 (Jul)", "08 (Aug)", "09 (Sep)", "10 (Oct)", "11 (Nov)", "12 (Dec)"))</f>
        <v>2024 08 (Aug)</v>
      </c>
      <c r="B3" s="184">
        <v>45505</v>
      </c>
      <c r="C3" s="185" t="str">
        <f>CHOOSE(WEEKDAY(B3),"Sunday","Monday","Tuesday","Wednesday","Thursday","Friday","Saturday")</f>
        <v>Thursday</v>
      </c>
      <c r="D3" s="186" t="s">
        <v>123</v>
      </c>
      <c r="E3" s="187">
        <v>20</v>
      </c>
      <c r="F3" s="186" t="str">
        <f>VLOOKUP(G3,'Expenses Reference'!$A$1:$B$23,2, FALSE)</f>
        <v>Needs</v>
      </c>
      <c r="G3" s="186" t="s">
        <v>119</v>
      </c>
      <c r="H3" s="188" t="s">
        <v>472</v>
      </c>
      <c r="I3" s="188"/>
    </row>
    <row r="4" spans="1:9" s="171" customFormat="1" x14ac:dyDescent="0.3">
      <c r="A4" s="168" t="str">
        <f t="shared" si="0"/>
        <v>2024 08 (Aug)</v>
      </c>
      <c r="B4" s="169">
        <v>45506</v>
      </c>
      <c r="C4" s="170" t="str">
        <f t="shared" ref="C4:C70" si="1">CHOOSE(WEEKDAY(B4),"Sunday","Monday","Tuesday","Wednesday","Thursday","Friday","Saturday")</f>
        <v>Friday</v>
      </c>
      <c r="D4" s="171" t="s">
        <v>107</v>
      </c>
      <c r="E4" s="172">
        <f>42000-10600-10666</f>
        <v>20734</v>
      </c>
      <c r="F4" s="171" t="str">
        <f>VLOOKUP(G4,'Expenses Reference'!$A$1:$B$23,2, FALSE)</f>
        <v>Needs</v>
      </c>
      <c r="G4" s="171" t="s">
        <v>30</v>
      </c>
      <c r="H4" s="173"/>
      <c r="I4" s="173"/>
    </row>
    <row r="5" spans="1:9" s="171" customFormat="1" x14ac:dyDescent="0.3">
      <c r="A5" s="168" t="str">
        <f t="shared" si="0"/>
        <v>2024 08 (Aug)</v>
      </c>
      <c r="B5" s="169">
        <v>45506</v>
      </c>
      <c r="C5" s="170" t="str">
        <f t="shared" si="1"/>
        <v>Friday</v>
      </c>
      <c r="D5" s="171" t="s">
        <v>189</v>
      </c>
      <c r="E5" s="172">
        <f>6836.11/2</f>
        <v>3418.0549999999998</v>
      </c>
      <c r="F5" s="171" t="str">
        <f>VLOOKUP(G5,'Expenses Reference'!$A$1:$B$23,2, FALSE)</f>
        <v>Wants</v>
      </c>
      <c r="G5" s="171" t="s">
        <v>188</v>
      </c>
      <c r="H5" s="173" t="s">
        <v>472</v>
      </c>
      <c r="I5" s="173"/>
    </row>
    <row r="6" spans="1:9" s="171" customFormat="1" x14ac:dyDescent="0.3">
      <c r="A6" s="168" t="str">
        <f t="shared" si="0"/>
        <v>2024 08 (Aug)</v>
      </c>
      <c r="B6" s="169">
        <v>45506</v>
      </c>
      <c r="C6" s="170" t="str">
        <f t="shared" si="1"/>
        <v>Friday</v>
      </c>
      <c r="D6" s="171" t="s">
        <v>185</v>
      </c>
      <c r="E6" s="172">
        <f>6836.11/2</f>
        <v>3418.0549999999998</v>
      </c>
      <c r="F6" s="171" t="str">
        <f>VLOOKUP(G6,'Expenses Reference'!$A$1:$B$23,2, FALSE)</f>
        <v>Wants</v>
      </c>
      <c r="G6" s="171" t="s">
        <v>185</v>
      </c>
      <c r="H6" s="173" t="s">
        <v>472</v>
      </c>
      <c r="I6" s="173"/>
    </row>
    <row r="7" spans="1:9" s="171" customFormat="1" x14ac:dyDescent="0.3">
      <c r="A7" s="168" t="str">
        <f t="shared" si="0"/>
        <v>2024 08 (Aug)</v>
      </c>
      <c r="B7" s="169">
        <v>45506</v>
      </c>
      <c r="C7" s="170" t="str">
        <f t="shared" si="1"/>
        <v>Friday</v>
      </c>
      <c r="D7" s="171" t="s">
        <v>124</v>
      </c>
      <c r="E7" s="172">
        <v>357</v>
      </c>
      <c r="F7" s="171" t="str">
        <f>VLOOKUP(G7,'Expenses Reference'!$A$1:$B$23,2, FALSE)</f>
        <v>Wants</v>
      </c>
      <c r="G7" s="171" t="s">
        <v>188</v>
      </c>
      <c r="H7" s="173" t="s">
        <v>472</v>
      </c>
      <c r="I7" s="173"/>
    </row>
    <row r="8" spans="1:9" s="177" customFormat="1" x14ac:dyDescent="0.3">
      <c r="A8" s="174" t="str">
        <f t="shared" si="0"/>
        <v>2024 08 (Aug)</v>
      </c>
      <c r="B8" s="175">
        <v>45507</v>
      </c>
      <c r="C8" s="176" t="str">
        <f t="shared" si="1"/>
        <v>Saturday</v>
      </c>
      <c r="D8" s="177" t="s">
        <v>125</v>
      </c>
      <c r="E8" s="178">
        <v>55</v>
      </c>
      <c r="F8" s="177" t="str">
        <f>VLOOKUP(G8,'Expenses Reference'!$A$1:$B$23,2, FALSE)</f>
        <v>Wants</v>
      </c>
      <c r="G8" s="177" t="s">
        <v>84</v>
      </c>
      <c r="H8" s="179" t="s">
        <v>472</v>
      </c>
      <c r="I8" s="179"/>
    </row>
    <row r="9" spans="1:9" s="177" customFormat="1" x14ac:dyDescent="0.3">
      <c r="A9" s="174" t="str">
        <f t="shared" si="0"/>
        <v>2024 08 (Aug)</v>
      </c>
      <c r="B9" s="175">
        <v>45507</v>
      </c>
      <c r="C9" s="176" t="str">
        <f t="shared" si="1"/>
        <v>Saturday</v>
      </c>
      <c r="D9" s="177" t="s">
        <v>126</v>
      </c>
      <c r="E9" s="178">
        <v>320</v>
      </c>
      <c r="F9" s="177" t="str">
        <f>VLOOKUP(G9,'Expenses Reference'!$A$1:$B$23,2, FALSE)</f>
        <v>Wants</v>
      </c>
      <c r="G9" s="177" t="s">
        <v>81</v>
      </c>
      <c r="H9" s="179" t="s">
        <v>472</v>
      </c>
      <c r="I9" s="179" t="s">
        <v>127</v>
      </c>
    </row>
    <row r="10" spans="1:9" s="177" customFormat="1" x14ac:dyDescent="0.3">
      <c r="A10" s="174" t="str">
        <f t="shared" si="0"/>
        <v>2024 08 (Aug)</v>
      </c>
      <c r="B10" s="175">
        <v>45507</v>
      </c>
      <c r="C10" s="176" t="str">
        <f t="shared" si="1"/>
        <v>Saturday</v>
      </c>
      <c r="D10" s="177" t="s">
        <v>128</v>
      </c>
      <c r="E10" s="178">
        <v>1759</v>
      </c>
      <c r="F10" s="177" t="str">
        <f>VLOOKUP(G10,'Expenses Reference'!$A$1:$B$23,2, FALSE)</f>
        <v>Wants</v>
      </c>
      <c r="G10" s="177" t="s">
        <v>81</v>
      </c>
      <c r="H10" s="179" t="s">
        <v>472</v>
      </c>
      <c r="I10" s="179"/>
    </row>
    <row r="11" spans="1:9" s="177" customFormat="1" x14ac:dyDescent="0.3">
      <c r="A11" s="174" t="str">
        <f t="shared" si="0"/>
        <v>2024 08 (Aug)</v>
      </c>
      <c r="B11" s="175">
        <v>45507</v>
      </c>
      <c r="C11" s="176" t="str">
        <f t="shared" si="1"/>
        <v>Saturday</v>
      </c>
      <c r="D11" s="177" t="s">
        <v>125</v>
      </c>
      <c r="E11" s="178">
        <v>55</v>
      </c>
      <c r="F11" s="177" t="str">
        <f>VLOOKUP(G11,'Expenses Reference'!$A$1:$B$23,2, FALSE)</f>
        <v>Wants</v>
      </c>
      <c r="G11" s="177" t="s">
        <v>84</v>
      </c>
      <c r="H11" s="179" t="s">
        <v>472</v>
      </c>
      <c r="I11" s="179"/>
    </row>
    <row r="12" spans="1:9" s="177" customFormat="1" x14ac:dyDescent="0.3">
      <c r="A12" s="174" t="str">
        <f t="shared" si="0"/>
        <v>2024 08 (Aug)</v>
      </c>
      <c r="B12" s="175">
        <v>45507</v>
      </c>
      <c r="C12" s="176" t="str">
        <f t="shared" si="1"/>
        <v>Saturday</v>
      </c>
      <c r="D12" s="177" t="s">
        <v>125</v>
      </c>
      <c r="E12" s="178">
        <v>81</v>
      </c>
      <c r="F12" s="177" t="str">
        <f>VLOOKUP(G12,'Expenses Reference'!$A$1:$B$23,2, FALSE)</f>
        <v>Wants</v>
      </c>
      <c r="G12" s="177" t="s">
        <v>84</v>
      </c>
      <c r="H12" s="179" t="s">
        <v>472</v>
      </c>
      <c r="I12" s="179" t="s">
        <v>192</v>
      </c>
    </row>
    <row r="13" spans="1:9" s="171" customFormat="1" x14ac:dyDescent="0.3">
      <c r="A13" s="168" t="str">
        <f t="shared" si="0"/>
        <v>2024 08 (Aug)</v>
      </c>
      <c r="B13" s="169">
        <v>45508</v>
      </c>
      <c r="C13" s="170" t="str">
        <f t="shared" si="1"/>
        <v>Sunday</v>
      </c>
      <c r="D13" s="171" t="s">
        <v>129</v>
      </c>
      <c r="E13" s="172">
        <v>270</v>
      </c>
      <c r="F13" s="171" t="str">
        <f>VLOOKUP(G13,'Expenses Reference'!$A$1:$B$23,2, FALSE)</f>
        <v>Wants</v>
      </c>
      <c r="G13" s="171" t="s">
        <v>81</v>
      </c>
      <c r="H13" s="173" t="s">
        <v>472</v>
      </c>
      <c r="I13" s="173" t="s">
        <v>130</v>
      </c>
    </row>
    <row r="14" spans="1:9" s="171" customFormat="1" x14ac:dyDescent="0.3">
      <c r="A14" s="168" t="str">
        <f t="shared" si="0"/>
        <v>2024 08 (Aug)</v>
      </c>
      <c r="B14" s="169">
        <v>45508</v>
      </c>
      <c r="C14" s="170" t="str">
        <f t="shared" si="1"/>
        <v>Sunday</v>
      </c>
      <c r="D14" s="171" t="s">
        <v>131</v>
      </c>
      <c r="E14" s="172">
        <v>1704</v>
      </c>
      <c r="F14" s="171" t="str">
        <f>VLOOKUP(G14,'Expenses Reference'!$A$1:$B$23,2, FALSE)</f>
        <v>Wants</v>
      </c>
      <c r="G14" s="171" t="s">
        <v>81</v>
      </c>
      <c r="H14" s="173" t="s">
        <v>472</v>
      </c>
      <c r="I14" s="173"/>
    </row>
    <row r="15" spans="1:9" s="177" customFormat="1" x14ac:dyDescent="0.3">
      <c r="A15" s="174" t="str">
        <f t="shared" si="0"/>
        <v>2024 08 (Aug)</v>
      </c>
      <c r="B15" s="175">
        <v>45509</v>
      </c>
      <c r="C15" s="176" t="str">
        <f t="shared" si="1"/>
        <v>Monday</v>
      </c>
      <c r="D15" s="177" t="s">
        <v>80</v>
      </c>
      <c r="E15" s="178">
        <v>149</v>
      </c>
      <c r="F15" s="177" t="str">
        <f>VLOOKUP(G15,'Expenses Reference'!$A$1:$B$23,2, FALSE)</f>
        <v>Wants</v>
      </c>
      <c r="G15" s="177" t="s">
        <v>84</v>
      </c>
      <c r="H15" s="179" t="s">
        <v>472</v>
      </c>
      <c r="I15" s="179"/>
    </row>
    <row r="16" spans="1:9" s="177" customFormat="1" x14ac:dyDescent="0.3">
      <c r="A16" s="174" t="str">
        <f t="shared" si="0"/>
        <v>2024 08 (Aug)</v>
      </c>
      <c r="B16" s="175">
        <v>45509</v>
      </c>
      <c r="C16" s="176" t="str">
        <f t="shared" si="1"/>
        <v>Monday</v>
      </c>
      <c r="D16" s="177" t="s">
        <v>132</v>
      </c>
      <c r="E16" s="178">
        <v>7005</v>
      </c>
      <c r="F16" s="177" t="str">
        <f>VLOOKUP(G16,'Expenses Reference'!$A$1:$B$23,2, FALSE)</f>
        <v>Needs</v>
      </c>
      <c r="G16" s="177" t="s">
        <v>119</v>
      </c>
      <c r="H16" s="179" t="s">
        <v>473</v>
      </c>
      <c r="I16" s="179"/>
    </row>
    <row r="17" spans="1:9" s="171" customFormat="1" x14ac:dyDescent="0.3">
      <c r="A17" s="168" t="str">
        <f t="shared" si="0"/>
        <v>2024 08 (Aug)</v>
      </c>
      <c r="B17" s="169">
        <v>45510</v>
      </c>
      <c r="C17" s="170" t="str">
        <f t="shared" si="1"/>
        <v>Tuesday</v>
      </c>
      <c r="D17" s="171" t="s">
        <v>133</v>
      </c>
      <c r="E17" s="172">
        <v>823</v>
      </c>
      <c r="F17" s="171" t="str">
        <f>VLOOKUP(G17,'Expenses Reference'!$A$1:$B$23,2, FALSE)</f>
        <v>Needs</v>
      </c>
      <c r="G17" s="171" t="s">
        <v>34</v>
      </c>
      <c r="H17" s="173"/>
      <c r="I17" s="173"/>
    </row>
    <row r="18" spans="1:9" s="171" customFormat="1" x14ac:dyDescent="0.3">
      <c r="A18" s="168" t="str">
        <f t="shared" si="0"/>
        <v>2024 08 (Aug)</v>
      </c>
      <c r="B18" s="169">
        <v>45510</v>
      </c>
      <c r="C18" s="170" t="str">
        <f t="shared" si="1"/>
        <v>Tuesday</v>
      </c>
      <c r="D18" s="171" t="s">
        <v>134</v>
      </c>
      <c r="E18" s="172">
        <v>636</v>
      </c>
      <c r="F18" s="171" t="str">
        <f>VLOOKUP(G18,'Expenses Reference'!$A$1:$B$23,2, FALSE)</f>
        <v>Needs</v>
      </c>
      <c r="G18" s="171" t="s">
        <v>34</v>
      </c>
      <c r="H18" s="173"/>
      <c r="I18" s="173"/>
    </row>
    <row r="19" spans="1:9" s="177" customFormat="1" x14ac:dyDescent="0.3">
      <c r="A19" s="174" t="str">
        <f t="shared" si="0"/>
        <v>2024 08 (Aug)</v>
      </c>
      <c r="B19" s="175">
        <v>45511</v>
      </c>
      <c r="C19" s="176" t="str">
        <f t="shared" si="1"/>
        <v>Wednesday</v>
      </c>
      <c r="D19" s="177" t="s">
        <v>135</v>
      </c>
      <c r="E19" s="178">
        <v>60</v>
      </c>
      <c r="F19" s="177" t="str">
        <f>VLOOKUP(G19,'Expenses Reference'!$A$1:$B$23,2, FALSE)</f>
        <v>Wants</v>
      </c>
      <c r="G19" s="177" t="s">
        <v>216</v>
      </c>
      <c r="H19" s="179"/>
      <c r="I19" s="179"/>
    </row>
    <row r="20" spans="1:9" s="177" customFormat="1" x14ac:dyDescent="0.3">
      <c r="A20" s="174" t="str">
        <f t="shared" si="0"/>
        <v>2024 08 (Aug)</v>
      </c>
      <c r="B20" s="175">
        <v>45511</v>
      </c>
      <c r="C20" s="176" t="str">
        <f t="shared" si="1"/>
        <v>Wednesday</v>
      </c>
      <c r="D20" s="177" t="s">
        <v>65</v>
      </c>
      <c r="E20" s="178">
        <v>1180</v>
      </c>
      <c r="F20" s="177" t="str">
        <f>VLOOKUP(G20,'Expenses Reference'!$A$1:$B$23,2, FALSE)</f>
        <v>Wants</v>
      </c>
      <c r="G20" s="177" t="s">
        <v>81</v>
      </c>
      <c r="H20" s="179"/>
      <c r="I20" s="179"/>
    </row>
    <row r="21" spans="1:9" s="177" customFormat="1" x14ac:dyDescent="0.3">
      <c r="A21" s="174" t="str">
        <f t="shared" si="0"/>
        <v>2024 08 (Aug)</v>
      </c>
      <c r="B21" s="175">
        <v>45511</v>
      </c>
      <c r="C21" s="176" t="str">
        <f t="shared" si="1"/>
        <v>Wednesday</v>
      </c>
      <c r="D21" s="177" t="s">
        <v>136</v>
      </c>
      <c r="E21" s="178">
        <v>119</v>
      </c>
      <c r="F21" s="177" t="str">
        <f>VLOOKUP(G21,'Expenses Reference'!$A$1:$B$23,2, FALSE)</f>
        <v>Wants</v>
      </c>
      <c r="G21" s="177" t="s">
        <v>54</v>
      </c>
      <c r="H21" s="179"/>
      <c r="I21" s="179"/>
    </row>
    <row r="22" spans="1:9" s="177" customFormat="1" x14ac:dyDescent="0.3">
      <c r="A22" s="174" t="str">
        <f t="shared" si="0"/>
        <v>2024 08 (Aug)</v>
      </c>
      <c r="B22" s="175">
        <v>45511</v>
      </c>
      <c r="C22" s="176" t="str">
        <f t="shared" si="1"/>
        <v>Wednesday</v>
      </c>
      <c r="D22" s="177" t="s">
        <v>137</v>
      </c>
      <c r="E22" s="178">
        <v>129</v>
      </c>
      <c r="F22" s="177" t="str">
        <f>VLOOKUP(G22,'Expenses Reference'!$A$1:$B$23,2, FALSE)</f>
        <v>Wants</v>
      </c>
      <c r="G22" s="177" t="s">
        <v>54</v>
      </c>
      <c r="H22" s="179"/>
      <c r="I22" s="179"/>
    </row>
    <row r="23" spans="1:9" s="171" customFormat="1" x14ac:dyDescent="0.3">
      <c r="A23" s="168" t="str">
        <f t="shared" si="0"/>
        <v>2024 08 (Aug)</v>
      </c>
      <c r="B23" s="169">
        <v>45512</v>
      </c>
      <c r="C23" s="170" t="str">
        <f t="shared" si="1"/>
        <v>Thursday</v>
      </c>
      <c r="D23" s="171" t="s">
        <v>135</v>
      </c>
      <c r="E23" s="172">
        <v>69</v>
      </c>
      <c r="F23" s="171" t="str">
        <f>VLOOKUP(G23,'Expenses Reference'!$A$1:$B$23,2, FALSE)</f>
        <v>Wants</v>
      </c>
      <c r="G23" s="171" t="s">
        <v>216</v>
      </c>
      <c r="H23" s="173"/>
      <c r="I23" s="173"/>
    </row>
    <row r="24" spans="1:9" s="177" customFormat="1" x14ac:dyDescent="0.3">
      <c r="A24" s="174" t="str">
        <f t="shared" si="0"/>
        <v>2024 08 (Aug)</v>
      </c>
      <c r="B24" s="175">
        <v>45513</v>
      </c>
      <c r="C24" s="176" t="str">
        <f t="shared" si="1"/>
        <v>Friday</v>
      </c>
      <c r="D24" s="177" t="s">
        <v>138</v>
      </c>
      <c r="E24" s="178">
        <v>2009</v>
      </c>
      <c r="F24" s="177" t="str">
        <f>VLOOKUP(G24,'Expenses Reference'!$A$1:$B$23,2, FALSE)</f>
        <v>Wants</v>
      </c>
      <c r="G24" s="177" t="s">
        <v>83</v>
      </c>
      <c r="H24" s="179"/>
      <c r="I24" s="179"/>
    </row>
    <row r="25" spans="1:9" s="171" customFormat="1" x14ac:dyDescent="0.3">
      <c r="A25" s="168" t="str">
        <f t="shared" si="0"/>
        <v>2024 08 (Aug)</v>
      </c>
      <c r="B25" s="169">
        <v>45515</v>
      </c>
      <c r="C25" s="170" t="str">
        <f t="shared" si="1"/>
        <v>Sunday</v>
      </c>
      <c r="D25" s="171" t="s">
        <v>141</v>
      </c>
      <c r="E25" s="172">
        <v>63</v>
      </c>
      <c r="F25" s="171" t="str">
        <f>VLOOKUP(G25,'Expenses Reference'!$A$1:$B$23,2, FALSE)</f>
        <v>Wants</v>
      </c>
      <c r="G25" s="171" t="s">
        <v>84</v>
      </c>
      <c r="H25" s="173"/>
      <c r="I25" s="173"/>
    </row>
    <row r="26" spans="1:9" s="171" customFormat="1" ht="13.8" customHeight="1" x14ac:dyDescent="0.3">
      <c r="A26" s="168" t="str">
        <f t="shared" si="0"/>
        <v>2024 08 (Aug)</v>
      </c>
      <c r="B26" s="169">
        <v>45515</v>
      </c>
      <c r="C26" s="170" t="str">
        <f t="shared" si="1"/>
        <v>Sunday</v>
      </c>
      <c r="D26" s="171" t="s">
        <v>139</v>
      </c>
      <c r="E26" s="172">
        <v>1100</v>
      </c>
      <c r="F26" s="171" t="str">
        <f>VLOOKUP(G26,'Expenses Reference'!$A$1:$B$23,2, FALSE)</f>
        <v>Wants</v>
      </c>
      <c r="G26" s="171" t="s">
        <v>215</v>
      </c>
      <c r="H26" s="173"/>
      <c r="I26" s="173"/>
    </row>
    <row r="27" spans="1:9" s="171" customFormat="1" x14ac:dyDescent="0.3">
      <c r="A27" s="168" t="str">
        <f t="shared" si="0"/>
        <v>2024 08 (Aug)</v>
      </c>
      <c r="B27" s="169">
        <v>45515</v>
      </c>
      <c r="C27" s="170" t="str">
        <f t="shared" si="1"/>
        <v>Sunday</v>
      </c>
      <c r="D27" s="171" t="s">
        <v>80</v>
      </c>
      <c r="E27" s="172">
        <v>145</v>
      </c>
      <c r="F27" s="171" t="str">
        <f>VLOOKUP(G27,'Expenses Reference'!$A$1:$B$23,2, FALSE)</f>
        <v>Wants</v>
      </c>
      <c r="G27" s="171" t="s">
        <v>84</v>
      </c>
      <c r="H27" s="173"/>
      <c r="I27" s="173"/>
    </row>
    <row r="28" spans="1:9" s="171" customFormat="1" x14ac:dyDescent="0.3">
      <c r="A28" s="168" t="str">
        <f t="shared" si="0"/>
        <v>2024 08 (Aug)</v>
      </c>
      <c r="B28" s="169">
        <v>45515</v>
      </c>
      <c r="C28" s="170" t="str">
        <f t="shared" si="1"/>
        <v>Sunday</v>
      </c>
      <c r="D28" s="171" t="s">
        <v>140</v>
      </c>
      <c r="E28" s="172">
        <v>120</v>
      </c>
      <c r="F28" s="171" t="str">
        <f>VLOOKUP(G28,'Expenses Reference'!$A$1:$B$23,2, FALSE)</f>
        <v>Needs</v>
      </c>
      <c r="G28" s="171" t="s">
        <v>146</v>
      </c>
      <c r="H28" s="173"/>
      <c r="I28" s="173"/>
    </row>
    <row r="29" spans="1:9" s="171" customFormat="1" x14ac:dyDescent="0.3">
      <c r="A29" s="168" t="str">
        <f t="shared" si="0"/>
        <v>2024 08 (Aug)</v>
      </c>
      <c r="B29" s="169">
        <v>45515</v>
      </c>
      <c r="C29" s="170" t="str">
        <f t="shared" si="1"/>
        <v>Sunday</v>
      </c>
      <c r="D29" s="171" t="s">
        <v>142</v>
      </c>
      <c r="E29" s="172">
        <v>113</v>
      </c>
      <c r="F29" s="171" t="str">
        <f>VLOOKUP(G29,'Expenses Reference'!$A$1:$B$23,2, FALSE)</f>
        <v>Wants</v>
      </c>
      <c r="G29" s="171" t="s">
        <v>84</v>
      </c>
      <c r="H29" s="173"/>
      <c r="I29" s="173"/>
    </row>
    <row r="30" spans="1:9" s="177" customFormat="1" x14ac:dyDescent="0.3">
      <c r="A30" s="174" t="str">
        <f t="shared" si="0"/>
        <v>2024 08 (Aug)</v>
      </c>
      <c r="B30" s="175">
        <v>45516</v>
      </c>
      <c r="C30" s="176" t="str">
        <f t="shared" si="1"/>
        <v>Monday</v>
      </c>
      <c r="D30" s="177" t="s">
        <v>125</v>
      </c>
      <c r="E30" s="178">
        <v>154</v>
      </c>
      <c r="F30" s="177" t="str">
        <f>VLOOKUP(G30,'Expenses Reference'!$A$1:$B$23,2, FALSE)</f>
        <v>Wants</v>
      </c>
      <c r="G30" s="177" t="s">
        <v>84</v>
      </c>
      <c r="H30" s="179"/>
      <c r="I30" s="179"/>
    </row>
    <row r="31" spans="1:9" s="177" customFormat="1" x14ac:dyDescent="0.3">
      <c r="A31" s="174" t="str">
        <f t="shared" si="0"/>
        <v>2024 08 (Aug)</v>
      </c>
      <c r="B31" s="175">
        <v>45516</v>
      </c>
      <c r="C31" s="176" t="str">
        <f t="shared" si="1"/>
        <v>Monday</v>
      </c>
      <c r="D31" s="177" t="s">
        <v>67</v>
      </c>
      <c r="E31" s="178">
        <v>38</v>
      </c>
      <c r="F31" s="177" t="str">
        <f>VLOOKUP(G31,'Expenses Reference'!$A$1:$B$23,2, FALSE)</f>
        <v>Needs</v>
      </c>
      <c r="G31" s="177" t="s">
        <v>35</v>
      </c>
      <c r="H31" s="179"/>
      <c r="I31" s="179"/>
    </row>
    <row r="32" spans="1:9" s="171" customFormat="1" x14ac:dyDescent="0.3">
      <c r="A32" s="168" t="str">
        <f t="shared" si="0"/>
        <v>2024 08 (Aug)</v>
      </c>
      <c r="B32" s="169">
        <v>45517</v>
      </c>
      <c r="C32" s="170" t="str">
        <f t="shared" si="1"/>
        <v>Tuesday</v>
      </c>
      <c r="D32" s="171" t="s">
        <v>143</v>
      </c>
      <c r="E32" s="172">
        <v>159</v>
      </c>
      <c r="F32" s="171" t="str">
        <f>VLOOKUP(G32,'Expenses Reference'!$A$1:$B$23,2, FALSE)</f>
        <v>Wants</v>
      </c>
      <c r="G32" s="171" t="s">
        <v>54</v>
      </c>
      <c r="H32" s="173"/>
      <c r="I32" s="173"/>
    </row>
    <row r="33" spans="1:9" s="177" customFormat="1" x14ac:dyDescent="0.3">
      <c r="A33" s="174" t="str">
        <f t="shared" si="0"/>
        <v>2024 08 (Aug)</v>
      </c>
      <c r="B33" s="175">
        <v>45518</v>
      </c>
      <c r="C33" s="176" t="str">
        <f t="shared" si="1"/>
        <v>Wednesday</v>
      </c>
      <c r="D33" s="177" t="s">
        <v>67</v>
      </c>
      <c r="E33" s="178">
        <v>83</v>
      </c>
      <c r="F33" s="177" t="str">
        <f>VLOOKUP(G33,'Expenses Reference'!$A$1:$B$23,2, FALSE)</f>
        <v>Needs</v>
      </c>
      <c r="G33" s="177" t="s">
        <v>35</v>
      </c>
      <c r="H33" s="179"/>
      <c r="I33" s="179"/>
    </row>
    <row r="34" spans="1:9" s="171" customFormat="1" x14ac:dyDescent="0.3">
      <c r="A34" s="168" t="str">
        <f t="shared" si="0"/>
        <v>2024 08 (Aug)</v>
      </c>
      <c r="B34" s="169">
        <v>45519</v>
      </c>
      <c r="C34" s="170" t="str">
        <f t="shared" si="1"/>
        <v>Thursday</v>
      </c>
      <c r="D34" s="171" t="s">
        <v>144</v>
      </c>
      <c r="E34" s="172">
        <v>3478</v>
      </c>
      <c r="F34" s="171" t="str">
        <f>VLOOKUP(G34,'Expenses Reference'!$A$1:$B$23,2, FALSE)</f>
        <v>Needs</v>
      </c>
      <c r="G34" s="171" t="s">
        <v>119</v>
      </c>
      <c r="H34" s="173" t="s">
        <v>473</v>
      </c>
      <c r="I34" s="173"/>
    </row>
    <row r="35" spans="1:9" s="171" customFormat="1" x14ac:dyDescent="0.3">
      <c r="A35" s="168" t="str">
        <f t="shared" si="0"/>
        <v>2024 08 (Aug)</v>
      </c>
      <c r="B35" s="169">
        <v>45519</v>
      </c>
      <c r="C35" s="170" t="str">
        <f t="shared" si="1"/>
        <v>Thursday</v>
      </c>
      <c r="D35" s="171" t="s">
        <v>135</v>
      </c>
      <c r="E35" s="172">
        <v>93</v>
      </c>
      <c r="F35" s="171" t="str">
        <f>VLOOKUP(G35,'Expenses Reference'!$A$1:$B$23,2, FALSE)</f>
        <v>Wants</v>
      </c>
      <c r="G35" s="171" t="s">
        <v>216</v>
      </c>
      <c r="H35" s="195"/>
      <c r="I35" s="195"/>
    </row>
    <row r="36" spans="1:9" s="171" customFormat="1" x14ac:dyDescent="0.3">
      <c r="A36" s="168" t="str">
        <f t="shared" si="0"/>
        <v>2024 08 (Aug)</v>
      </c>
      <c r="B36" s="169">
        <v>45519</v>
      </c>
      <c r="C36" s="170" t="str">
        <f t="shared" si="1"/>
        <v>Thursday</v>
      </c>
      <c r="D36" s="171" t="s">
        <v>135</v>
      </c>
      <c r="E36" s="172">
        <v>115</v>
      </c>
      <c r="F36" s="171" t="str">
        <f>VLOOKUP(G36,'Expenses Reference'!$A$1:$B$23,2, FALSE)</f>
        <v>Wants</v>
      </c>
      <c r="G36" s="171" t="s">
        <v>216</v>
      </c>
      <c r="H36" s="173"/>
      <c r="I36" s="173"/>
    </row>
    <row r="37" spans="1:9" s="177" customFormat="1" x14ac:dyDescent="0.3">
      <c r="A37" s="174" t="str">
        <f t="shared" si="0"/>
        <v>2024 08 (Aug)</v>
      </c>
      <c r="B37" s="175">
        <v>45520</v>
      </c>
      <c r="C37" s="176" t="str">
        <f t="shared" si="1"/>
        <v>Friday</v>
      </c>
      <c r="D37" s="177" t="s">
        <v>67</v>
      </c>
      <c r="E37" s="178">
        <v>95</v>
      </c>
      <c r="F37" s="177" t="str">
        <f>VLOOKUP(G37,'Expenses Reference'!$A$1:$B$23,2, FALSE)</f>
        <v>Needs</v>
      </c>
      <c r="G37" s="177" t="s">
        <v>35</v>
      </c>
      <c r="H37" s="179"/>
      <c r="I37" s="179" t="s">
        <v>145</v>
      </c>
    </row>
    <row r="38" spans="1:9" s="177" customFormat="1" x14ac:dyDescent="0.3">
      <c r="A38" s="174" t="str">
        <f t="shared" si="0"/>
        <v>2024 08 (Aug)</v>
      </c>
      <c r="B38" s="175">
        <v>45520</v>
      </c>
      <c r="C38" s="176" t="str">
        <f t="shared" si="1"/>
        <v>Friday</v>
      </c>
      <c r="D38" s="177" t="s">
        <v>147</v>
      </c>
      <c r="E38" s="178">
        <v>47</v>
      </c>
      <c r="F38" s="177" t="str">
        <f>VLOOKUP(G38,'Expenses Reference'!$A$1:$B$23,2, FALSE)</f>
        <v>Wants</v>
      </c>
      <c r="G38" s="177" t="s">
        <v>84</v>
      </c>
      <c r="H38" s="179"/>
      <c r="I38" s="179"/>
    </row>
    <row r="39" spans="1:9" s="177" customFormat="1" x14ac:dyDescent="0.3">
      <c r="A39" s="174" t="str">
        <f t="shared" si="0"/>
        <v>2024 08 (Aug)</v>
      </c>
      <c r="B39" s="175">
        <v>45520</v>
      </c>
      <c r="C39" s="176" t="str">
        <f t="shared" si="1"/>
        <v>Friday</v>
      </c>
      <c r="D39" s="177" t="s">
        <v>148</v>
      </c>
      <c r="E39" s="178">
        <f>680/3</f>
        <v>226.66666666666666</v>
      </c>
      <c r="F39" s="177" t="str">
        <f>VLOOKUP(G39,'Expenses Reference'!$A$1:$B$23,2, FALSE)</f>
        <v>Wants</v>
      </c>
      <c r="G39" s="177" t="s">
        <v>84</v>
      </c>
      <c r="H39" s="179" t="s">
        <v>473</v>
      </c>
      <c r="I39" s="179"/>
    </row>
    <row r="40" spans="1:9" s="177" customFormat="1" x14ac:dyDescent="0.3">
      <c r="A40" s="174" t="str">
        <f t="shared" si="0"/>
        <v>2024 08 (Aug)</v>
      </c>
      <c r="B40" s="175">
        <v>45520</v>
      </c>
      <c r="C40" s="176" t="str">
        <f t="shared" si="1"/>
        <v>Friday</v>
      </c>
      <c r="D40" s="177" t="s">
        <v>151</v>
      </c>
      <c r="E40" s="178">
        <f>3148/2</f>
        <v>1574</v>
      </c>
      <c r="F40" s="177" t="str">
        <f>VLOOKUP(G40,'Expenses Reference'!$A$1:$B$23,2, FALSE)</f>
        <v>Wants</v>
      </c>
      <c r="G40" s="177" t="s">
        <v>81</v>
      </c>
      <c r="H40" s="179" t="s">
        <v>473</v>
      </c>
      <c r="I40" s="179" t="s">
        <v>182</v>
      </c>
    </row>
    <row r="41" spans="1:9" s="171" customFormat="1" x14ac:dyDescent="0.3">
      <c r="A41" s="168" t="str">
        <f t="shared" si="0"/>
        <v>2024 08 (Aug)</v>
      </c>
      <c r="B41" s="169">
        <v>45521</v>
      </c>
      <c r="C41" s="170" t="str">
        <f t="shared" si="1"/>
        <v>Saturday</v>
      </c>
      <c r="D41" s="171" t="s">
        <v>149</v>
      </c>
      <c r="E41" s="172">
        <v>390</v>
      </c>
      <c r="F41" s="171" t="str">
        <f>VLOOKUP(G41,'Expenses Reference'!$A$1:$B$23,2, FALSE)</f>
        <v>Wants</v>
      </c>
      <c r="G41" s="171" t="s">
        <v>84</v>
      </c>
      <c r="H41" s="173" t="s">
        <v>473</v>
      </c>
      <c r="I41" s="173"/>
    </row>
    <row r="42" spans="1:9" s="171" customFormat="1" x14ac:dyDescent="0.3">
      <c r="A42" s="168" t="str">
        <f t="shared" si="0"/>
        <v>2024 08 (Aug)</v>
      </c>
      <c r="B42" s="169">
        <v>45521</v>
      </c>
      <c r="C42" s="170" t="str">
        <f t="shared" si="1"/>
        <v>Saturday</v>
      </c>
      <c r="D42" s="171" t="s">
        <v>150</v>
      </c>
      <c r="E42" s="172">
        <f>80+40</f>
        <v>120</v>
      </c>
      <c r="F42" s="171" t="str">
        <f>VLOOKUP(G42,'Expenses Reference'!$A$1:$B$23,2, FALSE)</f>
        <v>Wants</v>
      </c>
      <c r="G42" s="171" t="s">
        <v>81</v>
      </c>
      <c r="H42" s="173" t="s">
        <v>473</v>
      </c>
      <c r="I42" s="173"/>
    </row>
    <row r="43" spans="1:9" s="171" customFormat="1" x14ac:dyDescent="0.3">
      <c r="A43" s="168" t="str">
        <f t="shared" si="0"/>
        <v>2024 08 (Aug)</v>
      </c>
      <c r="B43" s="169">
        <v>45521</v>
      </c>
      <c r="C43" s="170" t="str">
        <f t="shared" si="1"/>
        <v>Saturday</v>
      </c>
      <c r="D43" s="171" t="s">
        <v>152</v>
      </c>
      <c r="E43" s="172">
        <v>130</v>
      </c>
      <c r="F43" s="171" t="str">
        <f>VLOOKUP(G43,'Expenses Reference'!$A$1:$B$23,2, FALSE)</f>
        <v>Wants</v>
      </c>
      <c r="G43" s="171" t="s">
        <v>84</v>
      </c>
      <c r="H43" s="173" t="s">
        <v>473</v>
      </c>
      <c r="I43" s="173"/>
    </row>
    <row r="44" spans="1:9" s="171" customFormat="1" x14ac:dyDescent="0.3">
      <c r="A44" s="168" t="str">
        <f t="shared" si="0"/>
        <v>2024 08 (Aug)</v>
      </c>
      <c r="B44" s="169">
        <v>45521</v>
      </c>
      <c r="C44" s="170" t="str">
        <f t="shared" si="1"/>
        <v>Saturday</v>
      </c>
      <c r="D44" s="171" t="s">
        <v>141</v>
      </c>
      <c r="E44" s="172">
        <v>120</v>
      </c>
      <c r="F44" s="171" t="str">
        <f>VLOOKUP(G44,'Expenses Reference'!$A$1:$B$23,2, FALSE)</f>
        <v>Wants</v>
      </c>
      <c r="G44" s="171" t="s">
        <v>84</v>
      </c>
      <c r="H44" s="173" t="s">
        <v>473</v>
      </c>
      <c r="I44" s="173"/>
    </row>
    <row r="45" spans="1:9" s="171" customFormat="1" x14ac:dyDescent="0.3">
      <c r="A45" s="168" t="str">
        <f t="shared" si="0"/>
        <v>2024 08 (Aug)</v>
      </c>
      <c r="B45" s="169">
        <v>45521</v>
      </c>
      <c r="C45" s="170" t="str">
        <f t="shared" si="1"/>
        <v>Saturday</v>
      </c>
      <c r="D45" s="171" t="s">
        <v>153</v>
      </c>
      <c r="E45" s="172">
        <v>300</v>
      </c>
      <c r="F45" s="171" t="str">
        <f>VLOOKUP(G45,'Expenses Reference'!$A$1:$B$23,2, FALSE)</f>
        <v>Wants</v>
      </c>
      <c r="G45" s="171" t="s">
        <v>83</v>
      </c>
      <c r="H45" s="173" t="s">
        <v>473</v>
      </c>
      <c r="I45" s="173" t="s">
        <v>154</v>
      </c>
    </row>
    <row r="46" spans="1:9" s="171" customFormat="1" x14ac:dyDescent="0.3">
      <c r="A46" s="168" t="str">
        <f t="shared" si="0"/>
        <v>2024 08 (Aug)</v>
      </c>
      <c r="B46" s="169">
        <v>45521</v>
      </c>
      <c r="C46" s="170" t="str">
        <f t="shared" si="1"/>
        <v>Saturday</v>
      </c>
      <c r="D46" s="171" t="s">
        <v>114</v>
      </c>
      <c r="E46" s="172">
        <f>3148/2</f>
        <v>1574</v>
      </c>
      <c r="F46" s="171" t="str">
        <f>VLOOKUP(G46,'Expenses Reference'!$A$1:$B$23,2, FALSE)</f>
        <v>Wants</v>
      </c>
      <c r="G46" s="171" t="s">
        <v>81</v>
      </c>
      <c r="H46" s="173" t="s">
        <v>473</v>
      </c>
      <c r="I46" s="173" t="s">
        <v>183</v>
      </c>
    </row>
    <row r="47" spans="1:9" s="171" customFormat="1" x14ac:dyDescent="0.3">
      <c r="A47" s="168" t="str">
        <f t="shared" si="0"/>
        <v>2024 08 (Aug)</v>
      </c>
      <c r="B47" s="169">
        <v>45521</v>
      </c>
      <c r="C47" s="170" t="str">
        <f t="shared" si="1"/>
        <v>Saturday</v>
      </c>
      <c r="D47" s="171" t="s">
        <v>142</v>
      </c>
      <c r="E47" s="172">
        <v>50</v>
      </c>
      <c r="F47" s="171" t="str">
        <f>VLOOKUP(G47,'Expenses Reference'!$A$1:$B$23,2, FALSE)</f>
        <v>Wants</v>
      </c>
      <c r="G47" s="171" t="s">
        <v>84</v>
      </c>
      <c r="H47" s="173" t="s">
        <v>473</v>
      </c>
      <c r="I47" s="173"/>
    </row>
    <row r="48" spans="1:9" s="177" customFormat="1" x14ac:dyDescent="0.3">
      <c r="A48" s="174" t="str">
        <f t="shared" si="0"/>
        <v>2024 08 (Aug)</v>
      </c>
      <c r="B48" s="175">
        <v>45522</v>
      </c>
      <c r="C48" s="176" t="str">
        <f t="shared" si="1"/>
        <v>Sunday</v>
      </c>
      <c r="D48" s="177" t="s">
        <v>155</v>
      </c>
      <c r="E48" s="178">
        <f>38.94+2.36</f>
        <v>41.3</v>
      </c>
      <c r="F48" s="177" t="str">
        <f>VLOOKUP(G48,'Expenses Reference'!$A$1:$B$23,2, FALSE)</f>
        <v>Needs</v>
      </c>
      <c r="G48" s="177" t="s">
        <v>146</v>
      </c>
      <c r="H48" s="179" t="s">
        <v>473</v>
      </c>
      <c r="I48" s="179"/>
    </row>
    <row r="49" spans="1:9" s="177" customFormat="1" x14ac:dyDescent="0.3">
      <c r="A49" s="174" t="str">
        <f t="shared" si="0"/>
        <v>2024 08 (Aug)</v>
      </c>
      <c r="B49" s="175">
        <v>45522</v>
      </c>
      <c r="C49" s="176" t="str">
        <f t="shared" si="1"/>
        <v>Sunday</v>
      </c>
      <c r="D49" s="177" t="s">
        <v>168</v>
      </c>
      <c r="E49" s="178">
        <v>70</v>
      </c>
      <c r="F49" s="177" t="str">
        <f>VLOOKUP(G49,'Expenses Reference'!$A$1:$B$23,2, FALSE)</f>
        <v>Wants</v>
      </c>
      <c r="G49" s="177" t="s">
        <v>81</v>
      </c>
      <c r="H49" s="179" t="s">
        <v>473</v>
      </c>
      <c r="I49" s="179"/>
    </row>
    <row r="50" spans="1:9" s="177" customFormat="1" x14ac:dyDescent="0.3">
      <c r="A50" s="174" t="str">
        <f t="shared" si="0"/>
        <v>2024 08 (Aug)</v>
      </c>
      <c r="B50" s="175">
        <v>45522</v>
      </c>
      <c r="C50" s="176" t="str">
        <f t="shared" si="1"/>
        <v>Sunday</v>
      </c>
      <c r="D50" s="177" t="s">
        <v>156</v>
      </c>
      <c r="E50" s="178">
        <v>250</v>
      </c>
      <c r="F50" s="177" t="str">
        <f>VLOOKUP(G50,'Expenses Reference'!$A$1:$B$23,2, FALSE)</f>
        <v>Wants</v>
      </c>
      <c r="G50" s="177" t="s">
        <v>84</v>
      </c>
      <c r="H50" s="179" t="s">
        <v>473</v>
      </c>
      <c r="I50" s="179"/>
    </row>
    <row r="51" spans="1:9" s="177" customFormat="1" x14ac:dyDescent="0.3">
      <c r="A51" s="174" t="str">
        <f t="shared" si="0"/>
        <v>2024 08 (Aug)</v>
      </c>
      <c r="B51" s="175">
        <v>45522</v>
      </c>
      <c r="C51" s="176" t="str">
        <f t="shared" si="1"/>
        <v>Sunday</v>
      </c>
      <c r="D51" s="177" t="s">
        <v>152</v>
      </c>
      <c r="E51" s="178">
        <v>86</v>
      </c>
      <c r="F51" s="177" t="str">
        <f>VLOOKUP(G51,'Expenses Reference'!$A$1:$B$23,2, FALSE)</f>
        <v>Wants</v>
      </c>
      <c r="G51" s="177" t="s">
        <v>84</v>
      </c>
      <c r="H51" s="179"/>
      <c r="I51" s="179"/>
    </row>
    <row r="52" spans="1:9" s="177" customFormat="1" x14ac:dyDescent="0.3">
      <c r="A52" s="174" t="str">
        <f t="shared" si="0"/>
        <v>2024 08 (Aug)</v>
      </c>
      <c r="B52" s="175">
        <v>45522</v>
      </c>
      <c r="C52" s="176" t="str">
        <f t="shared" si="1"/>
        <v>Sunday</v>
      </c>
      <c r="D52" s="177" t="s">
        <v>157</v>
      </c>
      <c r="E52" s="178">
        <v>996</v>
      </c>
      <c r="F52" s="177" t="str">
        <f>VLOOKUP(G52,'Expenses Reference'!$A$1:$B$23,2, FALSE)</f>
        <v>Wants</v>
      </c>
      <c r="G52" s="177" t="s">
        <v>83</v>
      </c>
      <c r="H52" s="179"/>
      <c r="I52" s="179">
        <v>996</v>
      </c>
    </row>
    <row r="53" spans="1:9" s="171" customFormat="1" x14ac:dyDescent="0.3">
      <c r="A53" s="168" t="str">
        <f t="shared" si="0"/>
        <v>2024 08 (Aug)</v>
      </c>
      <c r="B53" s="169">
        <v>45523</v>
      </c>
      <c r="C53" s="170" t="str">
        <f t="shared" si="1"/>
        <v>Monday</v>
      </c>
      <c r="D53" s="171" t="s">
        <v>158</v>
      </c>
      <c r="E53" s="172">
        <v>4000</v>
      </c>
      <c r="F53" s="171" t="str">
        <f>VLOOKUP(G53,'Expenses Reference'!$A$1:$B$23,2, FALSE)</f>
        <v>Wants</v>
      </c>
      <c r="G53" s="171" t="s">
        <v>188</v>
      </c>
      <c r="H53" s="173"/>
      <c r="I53" s="173"/>
    </row>
    <row r="54" spans="1:9" s="177" customFormat="1" x14ac:dyDescent="0.3">
      <c r="A54" s="174" t="str">
        <f t="shared" si="0"/>
        <v>2024 08 (Aug)</v>
      </c>
      <c r="B54" s="175">
        <v>45524</v>
      </c>
      <c r="C54" s="176" t="str">
        <f t="shared" si="1"/>
        <v>Tuesday</v>
      </c>
      <c r="D54" s="177" t="s">
        <v>159</v>
      </c>
      <c r="E54" s="178">
        <v>130</v>
      </c>
      <c r="F54" s="177" t="str">
        <f>VLOOKUP(G54,'Expenses Reference'!$A$1:$B$23,2, FALSE)</f>
        <v>Wants</v>
      </c>
      <c r="G54" s="177" t="s">
        <v>216</v>
      </c>
      <c r="H54" s="179"/>
      <c r="I54" s="179"/>
    </row>
    <row r="55" spans="1:9" s="177" customFormat="1" x14ac:dyDescent="0.3">
      <c r="A55" s="174" t="str">
        <f t="shared" si="0"/>
        <v>2024 08 (Aug)</v>
      </c>
      <c r="B55" s="175">
        <v>45524</v>
      </c>
      <c r="C55" s="176" t="str">
        <f t="shared" si="1"/>
        <v>Tuesday</v>
      </c>
      <c r="D55" s="177" t="s">
        <v>67</v>
      </c>
      <c r="E55" s="178">
        <f>95+35</f>
        <v>130</v>
      </c>
      <c r="F55" s="177" t="str">
        <f>VLOOKUP(G55,'Expenses Reference'!$A$1:$B$23,2, FALSE)</f>
        <v>Needs</v>
      </c>
      <c r="G55" s="177" t="s">
        <v>35</v>
      </c>
      <c r="H55" s="179"/>
      <c r="I55" s="179"/>
    </row>
    <row r="56" spans="1:9" s="177" customFormat="1" x14ac:dyDescent="0.3">
      <c r="A56" s="174" t="str">
        <f t="shared" si="0"/>
        <v>2024 08 (Aug)</v>
      </c>
      <c r="B56" s="175">
        <v>45524</v>
      </c>
      <c r="C56" s="176" t="str">
        <f t="shared" si="1"/>
        <v>Tuesday</v>
      </c>
      <c r="D56" s="177" t="s">
        <v>160</v>
      </c>
      <c r="E56" s="178">
        <v>500</v>
      </c>
      <c r="F56" s="177" t="str">
        <f>VLOOKUP(G56,'Expenses Reference'!$A$1:$B$23,2, FALSE)</f>
        <v>Wants</v>
      </c>
      <c r="G56" s="177" t="s">
        <v>83</v>
      </c>
      <c r="H56" s="179"/>
      <c r="I56" s="179"/>
    </row>
    <row r="57" spans="1:9" s="171" customFormat="1" x14ac:dyDescent="0.3">
      <c r="A57" s="168" t="str">
        <f t="shared" si="0"/>
        <v>2024 08 (Aug)</v>
      </c>
      <c r="B57" s="169">
        <v>45525</v>
      </c>
      <c r="C57" s="170" t="str">
        <f t="shared" si="1"/>
        <v>Wednesday</v>
      </c>
      <c r="D57" s="171" t="s">
        <v>67</v>
      </c>
      <c r="E57" s="172">
        <f>130+55</f>
        <v>185</v>
      </c>
      <c r="F57" s="171" t="str">
        <f>VLOOKUP(G57,'Expenses Reference'!$A$1:$B$23,2, FALSE)</f>
        <v>Needs</v>
      </c>
      <c r="G57" s="171" t="s">
        <v>35</v>
      </c>
      <c r="H57" s="173"/>
      <c r="I57" s="173"/>
    </row>
    <row r="58" spans="1:9" s="171" customFormat="1" x14ac:dyDescent="0.3">
      <c r="A58" s="168" t="str">
        <f t="shared" si="0"/>
        <v>2024 08 (Aug)</v>
      </c>
      <c r="B58" s="169">
        <v>45525</v>
      </c>
      <c r="C58" s="170" t="str">
        <f t="shared" si="1"/>
        <v>Wednesday</v>
      </c>
      <c r="D58" s="171" t="s">
        <v>161</v>
      </c>
      <c r="E58" s="172">
        <f>500-350</f>
        <v>150</v>
      </c>
      <c r="F58" s="171" t="str">
        <f>VLOOKUP(G58,'Expenses Reference'!$A$1:$B$23,2, FALSE)</f>
        <v>Wants</v>
      </c>
      <c r="G58" s="171" t="s">
        <v>188</v>
      </c>
      <c r="H58" s="173"/>
      <c r="I58" s="173" t="s">
        <v>228</v>
      </c>
    </row>
    <row r="59" spans="1:9" s="171" customFormat="1" x14ac:dyDescent="0.3">
      <c r="A59" s="168" t="str">
        <f t="shared" si="0"/>
        <v>2024 08 (Aug)</v>
      </c>
      <c r="B59" s="169">
        <v>45525</v>
      </c>
      <c r="C59" s="170" t="str">
        <f t="shared" si="1"/>
        <v>Wednesday</v>
      </c>
      <c r="D59" s="171" t="s">
        <v>162</v>
      </c>
      <c r="E59" s="172">
        <v>199</v>
      </c>
      <c r="F59" s="171" t="str">
        <f>VLOOKUP(G59,'Expenses Reference'!$A$1:$B$23,2, FALSE)</f>
        <v>Wants</v>
      </c>
      <c r="G59" s="171" t="s">
        <v>54</v>
      </c>
      <c r="H59" s="173"/>
      <c r="I59" s="173"/>
    </row>
    <row r="60" spans="1:9" s="177" customFormat="1" x14ac:dyDescent="0.3">
      <c r="A60" s="174" t="str">
        <f t="shared" si="0"/>
        <v>2024 08 (Aug)</v>
      </c>
      <c r="B60" s="175">
        <v>45526</v>
      </c>
      <c r="C60" s="176" t="str">
        <f t="shared" si="1"/>
        <v>Thursday</v>
      </c>
      <c r="D60" s="177" t="s">
        <v>67</v>
      </c>
      <c r="E60" s="178">
        <v>115</v>
      </c>
      <c r="F60" s="177" t="str">
        <f>VLOOKUP(G60,'Expenses Reference'!$A$1:$B$23,2, FALSE)</f>
        <v>Needs</v>
      </c>
      <c r="G60" s="177" t="s">
        <v>35</v>
      </c>
      <c r="H60" s="179"/>
      <c r="I60" s="179"/>
    </row>
    <row r="61" spans="1:9" s="177" customFormat="1" x14ac:dyDescent="0.3">
      <c r="A61" s="174" t="str">
        <f t="shared" si="0"/>
        <v>2024 08 (Aug)</v>
      </c>
      <c r="B61" s="175">
        <v>45526</v>
      </c>
      <c r="C61" s="176" t="str">
        <f t="shared" si="1"/>
        <v>Thursday</v>
      </c>
      <c r="D61" s="177" t="s">
        <v>163</v>
      </c>
      <c r="E61" s="178">
        <v>123</v>
      </c>
      <c r="F61" s="177" t="str">
        <f>VLOOKUP(G61,'Expenses Reference'!$A$1:$B$23,2, FALSE)</f>
        <v>Wants</v>
      </c>
      <c r="G61" s="177" t="s">
        <v>216</v>
      </c>
      <c r="H61" s="179"/>
      <c r="I61" s="179"/>
    </row>
    <row r="62" spans="1:9" s="177" customFormat="1" x14ac:dyDescent="0.3">
      <c r="A62" s="174" t="str">
        <f t="shared" si="0"/>
        <v>2024 08 (Aug)</v>
      </c>
      <c r="B62" s="175">
        <v>45526</v>
      </c>
      <c r="C62" s="176" t="str">
        <f t="shared" si="1"/>
        <v>Thursday</v>
      </c>
      <c r="D62" s="177" t="s">
        <v>164</v>
      </c>
      <c r="E62" s="178">
        <v>80</v>
      </c>
      <c r="F62" s="177" t="str">
        <f>VLOOKUP(G62,'Expenses Reference'!$A$1:$B$23,2, FALSE)</f>
        <v>Wants</v>
      </c>
      <c r="G62" s="177" t="s">
        <v>216</v>
      </c>
      <c r="H62" s="179"/>
      <c r="I62" s="179"/>
    </row>
    <row r="63" spans="1:9" s="171" customFormat="1" x14ac:dyDescent="0.3">
      <c r="A63" s="168" t="str">
        <f t="shared" si="0"/>
        <v>2024 08 (Aug)</v>
      </c>
      <c r="B63" s="169">
        <v>45527</v>
      </c>
      <c r="C63" s="170" t="str">
        <f t="shared" si="1"/>
        <v>Friday</v>
      </c>
      <c r="D63" s="171" t="s">
        <v>67</v>
      </c>
      <c r="E63" s="172">
        <v>174</v>
      </c>
      <c r="F63" s="171" t="str">
        <f>VLOOKUP(G63,'Expenses Reference'!$A$1:$B$23,2, FALSE)</f>
        <v>Needs</v>
      </c>
      <c r="G63" s="171" t="s">
        <v>35</v>
      </c>
      <c r="H63" s="173"/>
      <c r="I63" s="173"/>
    </row>
    <row r="64" spans="1:9" s="171" customFormat="1" x14ac:dyDescent="0.3">
      <c r="A64" s="168" t="str">
        <f t="shared" si="0"/>
        <v>2024 08 (Aug)</v>
      </c>
      <c r="B64" s="169">
        <v>45527</v>
      </c>
      <c r="C64" s="170" t="str">
        <f t="shared" si="1"/>
        <v>Friday</v>
      </c>
      <c r="D64" s="171" t="s">
        <v>165</v>
      </c>
      <c r="E64" s="172">
        <v>1000</v>
      </c>
      <c r="F64" s="171" t="str">
        <f>VLOOKUP(G64,'Expenses Reference'!$A$1:$B$23,2, FALSE)</f>
        <v>Investments</v>
      </c>
      <c r="G64" s="171" t="s">
        <v>217</v>
      </c>
      <c r="H64" s="173"/>
      <c r="I64" s="173"/>
    </row>
    <row r="65" spans="1:9" s="177" customFormat="1" x14ac:dyDescent="0.3">
      <c r="A65" s="174" t="str">
        <f t="shared" si="0"/>
        <v>2024 08 (Aug)</v>
      </c>
      <c r="B65" s="175">
        <v>45528</v>
      </c>
      <c r="C65" s="176" t="str">
        <f t="shared" si="1"/>
        <v>Saturday</v>
      </c>
      <c r="D65" s="177" t="s">
        <v>80</v>
      </c>
      <c r="E65" s="178">
        <v>91</v>
      </c>
      <c r="F65" s="177" t="str">
        <f>VLOOKUP(G65,'Expenses Reference'!$A$1:$B$23,2, FALSE)</f>
        <v>Wants</v>
      </c>
      <c r="G65" s="177" t="s">
        <v>84</v>
      </c>
      <c r="H65" s="179"/>
      <c r="I65" s="179" t="s">
        <v>166</v>
      </c>
    </row>
    <row r="66" spans="1:9" s="177" customFormat="1" x14ac:dyDescent="0.3">
      <c r="A66" s="174" t="str">
        <f t="shared" si="0"/>
        <v>2024 08 (Aug)</v>
      </c>
      <c r="B66" s="175">
        <v>45528</v>
      </c>
      <c r="C66" s="176" t="str">
        <f t="shared" si="1"/>
        <v>Saturday</v>
      </c>
      <c r="D66" s="177" t="s">
        <v>167</v>
      </c>
      <c r="E66" s="178">
        <f>1339.34+470.82</f>
        <v>1810.1599999999999</v>
      </c>
      <c r="F66" s="177" t="str">
        <f>VLOOKUP(G66,'Expenses Reference'!$A$1:$B$23,2, FALSE)</f>
        <v>Needs</v>
      </c>
      <c r="G66" s="177" t="s">
        <v>82</v>
      </c>
      <c r="H66" s="179"/>
      <c r="I66" s="179"/>
    </row>
    <row r="67" spans="1:9" s="171" customFormat="1" x14ac:dyDescent="0.3">
      <c r="A67" s="168" t="str">
        <f t="shared" ref="A67:A130" si="2">_xlfn.CONCAT(YEAR(B67), " ", CHOOSE(MONTH(B67), "01 (Jan)", "02 (Feb)", "03 (Mar)", "04 (Apr)", "05 (May)", "06 (Jun)", "07 (Jul)", "08 (Aug)", "09 (Sep)", "10 (Oct)", "11 (Nov)", "12 (Dec)"))</f>
        <v>2024 08 (Aug)</v>
      </c>
      <c r="B67" s="169">
        <v>45529</v>
      </c>
      <c r="C67" s="170" t="str">
        <f t="shared" si="1"/>
        <v>Sunday</v>
      </c>
      <c r="D67" s="171" t="s">
        <v>157</v>
      </c>
      <c r="E67" s="172">
        <v>1929</v>
      </c>
      <c r="F67" s="171" t="str">
        <f>VLOOKUP(G67,'Expenses Reference'!$A$1:$B$23,2, FALSE)</f>
        <v>Wants</v>
      </c>
      <c r="G67" s="171" t="s">
        <v>83</v>
      </c>
      <c r="H67" s="173"/>
      <c r="I67" s="173"/>
    </row>
    <row r="68" spans="1:9" s="171" customFormat="1" x14ac:dyDescent="0.3">
      <c r="A68" s="168" t="str">
        <f t="shared" si="2"/>
        <v>2024 08 (Aug)</v>
      </c>
      <c r="B68" s="169">
        <v>45529</v>
      </c>
      <c r="C68" s="170" t="str">
        <f t="shared" si="1"/>
        <v>Sunday</v>
      </c>
      <c r="D68" s="171" t="s">
        <v>214</v>
      </c>
      <c r="E68" s="172">
        <v>748</v>
      </c>
      <c r="F68" s="171" t="str">
        <f>VLOOKUP(G68,'Expenses Reference'!$A$1:$B$23,2, FALSE)</f>
        <v>Needs</v>
      </c>
      <c r="G68" s="171" t="s">
        <v>34</v>
      </c>
      <c r="H68" s="173"/>
      <c r="I68" s="173"/>
    </row>
    <row r="69" spans="1:9" s="177" customFormat="1" x14ac:dyDescent="0.3">
      <c r="A69" s="174" t="str">
        <f t="shared" si="2"/>
        <v>2024 08 (Aug)</v>
      </c>
      <c r="B69" s="175">
        <v>45530</v>
      </c>
      <c r="C69" s="176" t="str">
        <f t="shared" si="1"/>
        <v>Monday</v>
      </c>
      <c r="D69" s="177" t="s">
        <v>169</v>
      </c>
      <c r="E69" s="178">
        <v>61</v>
      </c>
      <c r="F69" s="152" t="str">
        <f>VLOOKUP(G69,'Expenses Reference'!$A$1:$B$23,2, FALSE)</f>
        <v>Needs</v>
      </c>
      <c r="G69" s="152" t="s">
        <v>213</v>
      </c>
      <c r="H69" s="179"/>
      <c r="I69" s="179"/>
    </row>
    <row r="70" spans="1:9" s="177" customFormat="1" x14ac:dyDescent="0.3">
      <c r="A70" s="174" t="str">
        <f t="shared" si="2"/>
        <v>2024 08 (Aug)</v>
      </c>
      <c r="B70" s="175">
        <v>45530</v>
      </c>
      <c r="C70" s="176" t="str">
        <f t="shared" si="1"/>
        <v>Monday</v>
      </c>
      <c r="D70" s="177" t="s">
        <v>67</v>
      </c>
      <c r="E70" s="178">
        <f>215+35</f>
        <v>250</v>
      </c>
      <c r="F70" s="177" t="str">
        <f>VLOOKUP(G70,'Expenses Reference'!$A$1:$B$23,2, FALSE)</f>
        <v>Needs</v>
      </c>
      <c r="G70" s="177" t="s">
        <v>35</v>
      </c>
      <c r="H70" s="179"/>
      <c r="I70" s="179"/>
    </row>
    <row r="71" spans="1:9" s="177" customFormat="1" x14ac:dyDescent="0.3">
      <c r="A71" s="174" t="str">
        <f t="shared" si="2"/>
        <v>2024 08 (Aug)</v>
      </c>
      <c r="B71" s="175">
        <v>45530</v>
      </c>
      <c r="C71" s="176" t="str">
        <f t="shared" ref="C71:C92" si="3">CHOOSE(WEEKDAY(B71),"Sunday","Monday","Tuesday","Wednesday","Thursday","Friday","Saturday")</f>
        <v>Monday</v>
      </c>
      <c r="D71" s="177" t="s">
        <v>80</v>
      </c>
      <c r="E71" s="178">
        <v>83</v>
      </c>
      <c r="F71" s="177" t="str">
        <f>VLOOKUP(G71,'Expenses Reference'!$A$1:$B$23,2, FALSE)</f>
        <v>Needs</v>
      </c>
      <c r="G71" s="177" t="s">
        <v>213</v>
      </c>
      <c r="H71" s="179"/>
      <c r="I71" s="179"/>
    </row>
    <row r="72" spans="1:9" s="177" customFormat="1" x14ac:dyDescent="0.3">
      <c r="A72" s="174" t="str">
        <f t="shared" si="2"/>
        <v>2024 08 (Aug)</v>
      </c>
      <c r="B72" s="175">
        <v>45530</v>
      </c>
      <c r="C72" s="176" t="str">
        <f t="shared" si="3"/>
        <v>Monday</v>
      </c>
      <c r="D72" s="177" t="s">
        <v>66</v>
      </c>
      <c r="E72" s="178">
        <v>391</v>
      </c>
      <c r="F72" s="177" t="str">
        <f>VLOOKUP(G72,'Expenses Reference'!$A$1:$B$23,2, FALSE)</f>
        <v>Needs</v>
      </c>
      <c r="G72" s="177" t="s">
        <v>34</v>
      </c>
      <c r="H72" s="179"/>
      <c r="I72" s="179"/>
    </row>
    <row r="73" spans="1:9" s="171" customFormat="1" x14ac:dyDescent="0.3">
      <c r="A73" s="168" t="str">
        <f t="shared" si="2"/>
        <v>2024 08 (Aug)</v>
      </c>
      <c r="B73" s="169">
        <v>45531</v>
      </c>
      <c r="C73" s="170" t="str">
        <f t="shared" si="3"/>
        <v>Tuesday</v>
      </c>
      <c r="D73" s="171" t="s">
        <v>67</v>
      </c>
      <c r="E73" s="172">
        <f>125+65</f>
        <v>190</v>
      </c>
      <c r="F73" s="171" t="str">
        <f>VLOOKUP(G73,'Expenses Reference'!$A$1:$B$23,2, FALSE)</f>
        <v>Needs</v>
      </c>
      <c r="G73" s="171" t="s">
        <v>35</v>
      </c>
      <c r="H73" s="173"/>
      <c r="I73" s="173"/>
    </row>
    <row r="74" spans="1:9" s="177" customFormat="1" x14ac:dyDescent="0.3">
      <c r="A74" s="174" t="str">
        <f t="shared" si="2"/>
        <v>2024 08 (Aug)</v>
      </c>
      <c r="B74" s="175">
        <v>45532</v>
      </c>
      <c r="C74" s="176" t="str">
        <f t="shared" si="3"/>
        <v>Wednesday</v>
      </c>
      <c r="D74" s="177" t="s">
        <v>169</v>
      </c>
      <c r="E74" s="178">
        <v>66</v>
      </c>
      <c r="F74" s="177" t="str">
        <f>VLOOKUP(G74,'Expenses Reference'!$A$1:$B$23,2, FALSE)</f>
        <v>Needs</v>
      </c>
      <c r="G74" s="177" t="s">
        <v>213</v>
      </c>
      <c r="H74" s="179"/>
      <c r="I74" s="179"/>
    </row>
    <row r="75" spans="1:9" s="177" customFormat="1" x14ac:dyDescent="0.3">
      <c r="A75" s="174" t="str">
        <f t="shared" si="2"/>
        <v>2024 08 (Aug)</v>
      </c>
      <c r="B75" s="175">
        <v>45532</v>
      </c>
      <c r="C75" s="176" t="str">
        <f t="shared" si="3"/>
        <v>Wednesday</v>
      </c>
      <c r="D75" s="177" t="s">
        <v>67</v>
      </c>
      <c r="E75" s="178">
        <v>185</v>
      </c>
      <c r="F75" s="177" t="str">
        <f>VLOOKUP(G75,'Expenses Reference'!$A$1:$B$23,2, FALSE)</f>
        <v>Needs</v>
      </c>
      <c r="G75" s="177" t="s">
        <v>35</v>
      </c>
      <c r="H75" s="179"/>
      <c r="I75" s="179"/>
    </row>
    <row r="76" spans="1:9" s="177" customFormat="1" x14ac:dyDescent="0.3">
      <c r="A76" s="174" t="str">
        <f t="shared" si="2"/>
        <v>2024 08 (Aug)</v>
      </c>
      <c r="B76" s="175">
        <v>45532</v>
      </c>
      <c r="C76" s="176" t="str">
        <f t="shared" si="3"/>
        <v>Wednesday</v>
      </c>
      <c r="D76" s="177" t="s">
        <v>171</v>
      </c>
      <c r="E76" s="178">
        <v>46.75</v>
      </c>
      <c r="F76" s="177" t="str">
        <f>VLOOKUP(G76,'Expenses Reference'!$A$1:$B$23,2, FALSE)</f>
        <v>Wants</v>
      </c>
      <c r="G76" s="177" t="s">
        <v>84</v>
      </c>
      <c r="H76" s="179"/>
      <c r="I76" s="179"/>
    </row>
    <row r="77" spans="1:9" s="177" customFormat="1" x14ac:dyDescent="0.3">
      <c r="A77" s="174" t="str">
        <f t="shared" si="2"/>
        <v>2024 08 (Aug)</v>
      </c>
      <c r="B77" s="175">
        <v>45532</v>
      </c>
      <c r="C77" s="176" t="str">
        <f t="shared" si="3"/>
        <v>Wednesday</v>
      </c>
      <c r="D77" s="177" t="s">
        <v>170</v>
      </c>
      <c r="E77" s="178">
        <f>157+30+20</f>
        <v>207</v>
      </c>
      <c r="F77" s="177" t="str">
        <f>VLOOKUP(G77,'Expenses Reference'!$A$1:$B$23,2, FALSE)</f>
        <v>Wants</v>
      </c>
      <c r="G77" s="177" t="s">
        <v>81</v>
      </c>
      <c r="H77" s="179"/>
      <c r="I77" s="179"/>
    </row>
    <row r="78" spans="1:9" s="177" customFormat="1" x14ac:dyDescent="0.3">
      <c r="A78" s="174" t="str">
        <f t="shared" si="2"/>
        <v>2024 08 (Aug)</v>
      </c>
      <c r="B78" s="175">
        <v>45532</v>
      </c>
      <c r="C78" s="176" t="str">
        <f t="shared" si="3"/>
        <v>Wednesday</v>
      </c>
      <c r="D78" s="177" t="s">
        <v>80</v>
      </c>
      <c r="E78" s="178">
        <f>174/3</f>
        <v>58</v>
      </c>
      <c r="F78" s="177" t="str">
        <f>VLOOKUP(G78,'Expenses Reference'!$A$1:$B$23,2, FALSE)</f>
        <v>Wants</v>
      </c>
      <c r="G78" s="177" t="s">
        <v>84</v>
      </c>
      <c r="H78" s="179"/>
      <c r="I78" s="179"/>
    </row>
    <row r="79" spans="1:9" s="177" customFormat="1" x14ac:dyDescent="0.3">
      <c r="A79" s="174" t="str">
        <f t="shared" si="2"/>
        <v>2024 08 (Aug)</v>
      </c>
      <c r="B79" s="175">
        <v>45532</v>
      </c>
      <c r="C79" s="176" t="str">
        <f t="shared" si="3"/>
        <v>Wednesday</v>
      </c>
      <c r="D79" s="177" t="s">
        <v>172</v>
      </c>
      <c r="E79" s="178">
        <v>700</v>
      </c>
      <c r="F79" s="177" t="str">
        <f>VLOOKUP(G79,'Expenses Reference'!$A$1:$B$23,2, FALSE)</f>
        <v>Wants</v>
      </c>
      <c r="G79" s="177" t="s">
        <v>83</v>
      </c>
      <c r="H79" s="179"/>
      <c r="I79" s="179"/>
    </row>
    <row r="80" spans="1:9" s="171" customFormat="1" x14ac:dyDescent="0.3">
      <c r="A80" s="168" t="str">
        <f t="shared" si="2"/>
        <v>2024 08 (Aug)</v>
      </c>
      <c r="B80" s="169">
        <v>45533</v>
      </c>
      <c r="C80" s="170" t="str">
        <f t="shared" si="3"/>
        <v>Thursday</v>
      </c>
      <c r="D80" s="171" t="s">
        <v>67</v>
      </c>
      <c r="E80" s="172">
        <f>45+119+20</f>
        <v>184</v>
      </c>
      <c r="F80" s="171" t="str">
        <f>VLOOKUP(G80,'Expenses Reference'!$A$1:$B$23,2, FALSE)</f>
        <v>Needs</v>
      </c>
      <c r="G80" s="171" t="s">
        <v>35</v>
      </c>
      <c r="H80" s="173"/>
      <c r="I80" s="173"/>
    </row>
    <row r="81" spans="1:9" s="171" customFormat="1" x14ac:dyDescent="0.3">
      <c r="A81" s="168" t="str">
        <f t="shared" si="2"/>
        <v>2024 08 (Aug)</v>
      </c>
      <c r="B81" s="169">
        <v>45533</v>
      </c>
      <c r="C81" s="170" t="str">
        <f t="shared" si="3"/>
        <v>Thursday</v>
      </c>
      <c r="D81" s="171" t="s">
        <v>173</v>
      </c>
      <c r="E81" s="172">
        <v>30</v>
      </c>
      <c r="F81" s="171" t="str">
        <f>VLOOKUP(G81,'Expenses Reference'!$A$1:$B$23,2, FALSE)</f>
        <v>Needs</v>
      </c>
      <c r="G81" s="171" t="s">
        <v>35</v>
      </c>
      <c r="H81" s="173"/>
      <c r="I81" s="173" t="s">
        <v>174</v>
      </c>
    </row>
    <row r="82" spans="1:9" s="177" customFormat="1" x14ac:dyDescent="0.3">
      <c r="A82" s="174" t="str">
        <f t="shared" si="2"/>
        <v>2024 08 (Aug)</v>
      </c>
      <c r="B82" s="175">
        <v>45534</v>
      </c>
      <c r="C82" s="176" t="str">
        <f t="shared" si="3"/>
        <v>Friday</v>
      </c>
      <c r="D82" s="177" t="s">
        <v>169</v>
      </c>
      <c r="E82" s="178">
        <v>80</v>
      </c>
      <c r="F82" s="177" t="str">
        <f>VLOOKUP(G82,'Expenses Reference'!$A$1:$B$23,2, FALSE)</f>
        <v>Needs</v>
      </c>
      <c r="G82" s="177" t="s">
        <v>213</v>
      </c>
      <c r="H82" s="179"/>
      <c r="I82" s="179"/>
    </row>
    <row r="83" spans="1:9" s="177" customFormat="1" x14ac:dyDescent="0.3">
      <c r="A83" s="174" t="str">
        <f t="shared" si="2"/>
        <v>2024 08 (Aug)</v>
      </c>
      <c r="B83" s="175">
        <v>45534</v>
      </c>
      <c r="C83" s="176" t="str">
        <f t="shared" si="3"/>
        <v>Friday</v>
      </c>
      <c r="D83" s="177" t="s">
        <v>67</v>
      </c>
      <c r="E83" s="178">
        <f>85+165+250+148</f>
        <v>648</v>
      </c>
      <c r="F83" s="177" t="str">
        <f>VLOOKUP(G83,'Expenses Reference'!$A$1:$B$23,2, FALSE)</f>
        <v>Needs</v>
      </c>
      <c r="G83" s="177" t="s">
        <v>35</v>
      </c>
      <c r="H83" s="179"/>
      <c r="I83" s="179" t="s">
        <v>175</v>
      </c>
    </row>
    <row r="84" spans="1:9" s="171" customFormat="1" x14ac:dyDescent="0.3">
      <c r="A84" s="168" t="str">
        <f t="shared" si="2"/>
        <v>2024 08 (Aug)</v>
      </c>
      <c r="B84" s="169">
        <v>45535</v>
      </c>
      <c r="C84" s="170" t="str">
        <f t="shared" si="3"/>
        <v>Saturday</v>
      </c>
      <c r="D84" s="171" t="s">
        <v>66</v>
      </c>
      <c r="E84" s="172">
        <v>914.6</v>
      </c>
      <c r="F84" s="171" t="str">
        <f>VLOOKUP(G84,'Expenses Reference'!$A$1:$B$23,2, FALSE)</f>
        <v>Needs</v>
      </c>
      <c r="G84" s="171" t="s">
        <v>34</v>
      </c>
      <c r="H84" s="173"/>
      <c r="I84" s="173"/>
    </row>
    <row r="85" spans="1:9" s="171" customFormat="1" x14ac:dyDescent="0.3">
      <c r="A85" s="168" t="str">
        <f t="shared" si="2"/>
        <v>2024 08 (Aug)</v>
      </c>
      <c r="B85" s="169">
        <v>45535</v>
      </c>
      <c r="C85" s="170" t="str">
        <f t="shared" si="3"/>
        <v>Saturday</v>
      </c>
      <c r="D85" s="171" t="s">
        <v>177</v>
      </c>
      <c r="E85" s="172">
        <v>69</v>
      </c>
      <c r="F85" s="171" t="str">
        <f>VLOOKUP(G85,'Expenses Reference'!$A$1:$B$23,2, FALSE)</f>
        <v>Wants</v>
      </c>
      <c r="G85" s="171" t="s">
        <v>84</v>
      </c>
      <c r="H85" s="173" t="s">
        <v>501</v>
      </c>
      <c r="I85" s="173"/>
    </row>
    <row r="86" spans="1:9" s="171" customFormat="1" x14ac:dyDescent="0.3">
      <c r="A86" s="168" t="str">
        <f t="shared" si="2"/>
        <v>2024 08 (Aug)</v>
      </c>
      <c r="B86" s="169">
        <v>45535</v>
      </c>
      <c r="C86" s="170" t="str">
        <f t="shared" si="3"/>
        <v>Saturday</v>
      </c>
      <c r="D86" s="171" t="s">
        <v>176</v>
      </c>
      <c r="E86" s="172">
        <v>215</v>
      </c>
      <c r="F86" s="171" t="str">
        <f>VLOOKUP(G86,'Expenses Reference'!$A$1:$B$23,2, FALSE)</f>
        <v>Wants</v>
      </c>
      <c r="G86" s="171" t="s">
        <v>81</v>
      </c>
      <c r="H86" s="173"/>
      <c r="I86" s="173"/>
    </row>
    <row r="87" spans="1:9" s="171" customFormat="1" x14ac:dyDescent="0.3">
      <c r="A87" s="168" t="str">
        <f t="shared" si="2"/>
        <v>2024 08 (Aug)</v>
      </c>
      <c r="B87" s="169">
        <v>45535</v>
      </c>
      <c r="C87" s="170" t="str">
        <f t="shared" si="3"/>
        <v>Saturday</v>
      </c>
      <c r="D87" s="171" t="s">
        <v>178</v>
      </c>
      <c r="E87" s="172">
        <v>80</v>
      </c>
      <c r="F87" s="171" t="str">
        <f>VLOOKUP(G87,'Expenses Reference'!$A$1:$B$23,2, FALSE)</f>
        <v>Wants</v>
      </c>
      <c r="G87" s="171" t="s">
        <v>84</v>
      </c>
      <c r="H87" s="173"/>
      <c r="I87" s="173"/>
    </row>
    <row r="88" spans="1:9" s="171" customFormat="1" x14ac:dyDescent="0.3">
      <c r="A88" s="168" t="str">
        <f t="shared" si="2"/>
        <v>2024 08 (Aug)</v>
      </c>
      <c r="B88" s="169">
        <v>45535</v>
      </c>
      <c r="C88" s="170" t="str">
        <f t="shared" si="3"/>
        <v>Saturday</v>
      </c>
      <c r="D88" s="171" t="s">
        <v>65</v>
      </c>
      <c r="E88" s="172">
        <v>599</v>
      </c>
      <c r="F88" s="171" t="str">
        <f>VLOOKUP(G88,'Expenses Reference'!$A$1:$B$23,2, FALSE)</f>
        <v>Wants</v>
      </c>
      <c r="G88" s="171" t="s">
        <v>81</v>
      </c>
      <c r="H88" s="173" t="s">
        <v>501</v>
      </c>
      <c r="I88" s="173"/>
    </row>
    <row r="89" spans="1:9" s="171" customFormat="1" x14ac:dyDescent="0.3">
      <c r="A89" s="168" t="str">
        <f t="shared" si="2"/>
        <v>2024 08 (Aug)</v>
      </c>
      <c r="B89" s="169">
        <v>45535</v>
      </c>
      <c r="C89" s="170" t="str">
        <f t="shared" si="3"/>
        <v>Saturday</v>
      </c>
      <c r="D89" s="171" t="s">
        <v>34</v>
      </c>
      <c r="E89" s="172">
        <v>110</v>
      </c>
      <c r="F89" s="171" t="str">
        <f>VLOOKUP(G89,'Expenses Reference'!$A$1:$B$23,2, FALSE)</f>
        <v>Needs</v>
      </c>
      <c r="G89" s="171" t="s">
        <v>34</v>
      </c>
      <c r="H89" s="173"/>
      <c r="I89" s="173"/>
    </row>
    <row r="90" spans="1:9" s="171" customFormat="1" x14ac:dyDescent="0.3">
      <c r="A90" s="168" t="str">
        <f t="shared" si="2"/>
        <v>2024 08 (Aug)</v>
      </c>
      <c r="B90" s="169">
        <v>45535</v>
      </c>
      <c r="C90" s="170" t="str">
        <f t="shared" si="3"/>
        <v>Saturday</v>
      </c>
      <c r="D90" s="171" t="s">
        <v>179</v>
      </c>
      <c r="E90" s="172">
        <v>750</v>
      </c>
      <c r="F90" t="str">
        <f>VLOOKUP(G90,'Expenses Reference'!$A$1:$B$23,2, FALSE)</f>
        <v>Wants</v>
      </c>
      <c r="G90" t="s">
        <v>215</v>
      </c>
      <c r="H90" s="173"/>
      <c r="I90" s="173"/>
    </row>
    <row r="91" spans="1:9" s="171" customFormat="1" x14ac:dyDescent="0.3">
      <c r="A91" s="168" t="str">
        <f t="shared" si="2"/>
        <v>2024 08 (Aug)</v>
      </c>
      <c r="B91" s="169">
        <v>45535</v>
      </c>
      <c r="C91" s="170" t="str">
        <f t="shared" si="3"/>
        <v>Saturday</v>
      </c>
      <c r="D91" s="171" t="s">
        <v>110</v>
      </c>
      <c r="E91" s="172">
        <v>328</v>
      </c>
      <c r="F91" t="str">
        <f>VLOOKUP(G91,'Expenses Reference'!$A$1:$B$23,2, FALSE)</f>
        <v>Wants</v>
      </c>
      <c r="G91" t="s">
        <v>215</v>
      </c>
      <c r="H91" s="173" t="s">
        <v>501</v>
      </c>
      <c r="I91" s="173"/>
    </row>
    <row r="92" spans="1:9" s="192" customFormat="1" ht="15" thickBot="1" x14ac:dyDescent="0.35">
      <c r="A92" s="189" t="str">
        <f t="shared" si="2"/>
        <v>2024 08 (Aug)</v>
      </c>
      <c r="B92" s="190">
        <v>45535</v>
      </c>
      <c r="C92" s="191" t="str">
        <f t="shared" si="3"/>
        <v>Saturday</v>
      </c>
      <c r="D92" s="192" t="s">
        <v>180</v>
      </c>
      <c r="E92" s="193">
        <v>130</v>
      </c>
      <c r="F92" s="192" t="str">
        <f>VLOOKUP(G92,'Expenses Reference'!$A$1:$B$23,2, FALSE)</f>
        <v>Wants</v>
      </c>
      <c r="G92" s="192" t="s">
        <v>81</v>
      </c>
      <c r="H92" s="194" t="s">
        <v>501</v>
      </c>
      <c r="I92" s="194"/>
    </row>
    <row r="93" spans="1:9" s="152" customFormat="1" x14ac:dyDescent="0.3">
      <c r="A93" s="167" t="str">
        <f t="shared" si="2"/>
        <v>2024 09 (Sep)</v>
      </c>
      <c r="B93" s="164">
        <v>45536</v>
      </c>
      <c r="C93" s="160" t="str">
        <f>CHOOSE(WEEKDAY(B93),"Sunday","Monday","Tuesday","Wednesday","Thursday","Friday","Saturday")</f>
        <v>Sunday</v>
      </c>
      <c r="D93" s="152" t="s">
        <v>85</v>
      </c>
      <c r="E93" s="153">
        <v>105</v>
      </c>
      <c r="F93" s="152" t="str">
        <f>VLOOKUP(G93,'Expenses Reference'!$A$1:$B$23,2, FALSE)</f>
        <v>Needs</v>
      </c>
      <c r="G93" s="152" t="s">
        <v>34</v>
      </c>
      <c r="H93" s="154"/>
      <c r="I93" s="154"/>
    </row>
    <row r="94" spans="1:9" x14ac:dyDescent="0.3">
      <c r="A94" s="107" t="str">
        <f t="shared" si="2"/>
        <v>2024 09 (Sep)</v>
      </c>
      <c r="B94" s="165">
        <v>45537</v>
      </c>
      <c r="C94" s="161" t="str">
        <f>CHOOSE(WEEKDAY(B94),"Sunday","Monday","Tuesday","Wednesday","Thursday","Friday","Saturday")</f>
        <v>Monday</v>
      </c>
      <c r="D94" t="s">
        <v>65</v>
      </c>
      <c r="E94" s="2">
        <v>699</v>
      </c>
      <c r="F94" t="str">
        <f>VLOOKUP(G94,'Expenses Reference'!$A$1:$B$23,2, FALSE)</f>
        <v>Wants</v>
      </c>
      <c r="G94" t="s">
        <v>81</v>
      </c>
      <c r="I94" s="1" t="s">
        <v>76</v>
      </c>
    </row>
    <row r="95" spans="1:9" s="152" customFormat="1" x14ac:dyDescent="0.3">
      <c r="A95" s="167" t="str">
        <f t="shared" si="2"/>
        <v>2024 09 (Sep)</v>
      </c>
      <c r="B95" s="164">
        <v>45538</v>
      </c>
      <c r="C95" s="160" t="str">
        <f t="shared" ref="C95:C140" si="4">CHOOSE(WEEKDAY(B95),"Sunday","Monday","Tuesday","Wednesday","Thursday","Friday","Saturday")</f>
        <v>Tuesday</v>
      </c>
      <c r="D95" s="152" t="s">
        <v>66</v>
      </c>
      <c r="E95" s="153">
        <v>340.75</v>
      </c>
      <c r="F95" s="152" t="str">
        <f>VLOOKUP(G95,'Expenses Reference'!$A$1:$B$23,2, FALSE)</f>
        <v>Needs</v>
      </c>
      <c r="G95" s="152" t="s">
        <v>34</v>
      </c>
      <c r="H95" s="154"/>
      <c r="I95" s="154"/>
    </row>
    <row r="96" spans="1:9" x14ac:dyDescent="0.3">
      <c r="A96" s="107" t="str">
        <f t="shared" si="2"/>
        <v>2024 09 (Sep)</v>
      </c>
      <c r="B96" s="165">
        <v>45539</v>
      </c>
      <c r="C96" s="161" t="str">
        <f t="shared" si="4"/>
        <v>Wednesday</v>
      </c>
      <c r="D96" t="s">
        <v>67</v>
      </c>
      <c r="E96" s="2">
        <f>149+39+55+109</f>
        <v>352</v>
      </c>
      <c r="F96" t="str">
        <f>VLOOKUP(G96,'Expenses Reference'!$A$1:$B$23,2, FALSE)</f>
        <v>Needs</v>
      </c>
      <c r="G96" t="s">
        <v>35</v>
      </c>
      <c r="I96" s="1" t="s">
        <v>75</v>
      </c>
    </row>
    <row r="97" spans="1:9" s="152" customFormat="1" x14ac:dyDescent="0.3">
      <c r="A97" s="167" t="str">
        <f t="shared" si="2"/>
        <v>2024 09 (Sep)</v>
      </c>
      <c r="B97" s="164">
        <v>45540</v>
      </c>
      <c r="C97" s="160" t="str">
        <f t="shared" si="4"/>
        <v>Thursday</v>
      </c>
      <c r="D97" s="152" t="s">
        <v>68</v>
      </c>
      <c r="E97" s="153">
        <v>111</v>
      </c>
      <c r="F97" s="152" t="str">
        <f>VLOOKUP(G97,'Expenses Reference'!$A$1:$B$23,2, FALSE)</f>
        <v>Needs</v>
      </c>
      <c r="G97" s="152" t="s">
        <v>213</v>
      </c>
      <c r="H97" s="154"/>
      <c r="I97" s="154"/>
    </row>
    <row r="98" spans="1:9" s="152" customFormat="1" x14ac:dyDescent="0.3">
      <c r="A98" s="167" t="str">
        <f t="shared" si="2"/>
        <v>2024 09 (Sep)</v>
      </c>
      <c r="B98" s="164">
        <v>45540</v>
      </c>
      <c r="C98" s="160" t="str">
        <f t="shared" si="4"/>
        <v>Thursday</v>
      </c>
      <c r="D98" s="152" t="s">
        <v>67</v>
      </c>
      <c r="E98" s="153">
        <v>214</v>
      </c>
      <c r="F98" s="152" t="str">
        <f>VLOOKUP(G98,'Expenses Reference'!$A$1:$B$23,2, FALSE)</f>
        <v>Needs</v>
      </c>
      <c r="G98" s="152" t="s">
        <v>35</v>
      </c>
      <c r="H98" s="154"/>
      <c r="I98" s="154"/>
    </row>
    <row r="99" spans="1:9" x14ac:dyDescent="0.3">
      <c r="A99" s="107" t="str">
        <f t="shared" si="2"/>
        <v>2024 09 (Sep)</v>
      </c>
      <c r="B99" s="165">
        <v>45541</v>
      </c>
      <c r="C99" s="161" t="str">
        <f t="shared" si="4"/>
        <v>Friday</v>
      </c>
      <c r="D99" t="s">
        <v>68</v>
      </c>
      <c r="E99" s="2">
        <v>60</v>
      </c>
      <c r="F99" t="str">
        <f>VLOOKUP(G99,'Expenses Reference'!$A$1:$B$23,2, FALSE)</f>
        <v>Needs</v>
      </c>
      <c r="G99" t="s">
        <v>213</v>
      </c>
    </row>
    <row r="100" spans="1:9" x14ac:dyDescent="0.3">
      <c r="A100" s="107" t="str">
        <f t="shared" si="2"/>
        <v>2024 09 (Sep)</v>
      </c>
      <c r="B100" s="165">
        <v>45541</v>
      </c>
      <c r="C100" s="161" t="str">
        <f t="shared" si="4"/>
        <v>Friday</v>
      </c>
      <c r="D100" t="s">
        <v>67</v>
      </c>
      <c r="E100" s="2">
        <f>204+45</f>
        <v>249</v>
      </c>
      <c r="F100" t="str">
        <f>VLOOKUP(G100,'Expenses Reference'!$A$1:$B$23,2, FALSE)</f>
        <v>Needs</v>
      </c>
      <c r="G100" t="s">
        <v>35</v>
      </c>
    </row>
    <row r="101" spans="1:9" x14ac:dyDescent="0.3">
      <c r="A101" s="107" t="str">
        <f t="shared" si="2"/>
        <v>2024 09 (Sep)</v>
      </c>
      <c r="B101" s="165">
        <v>45541</v>
      </c>
      <c r="C101" s="161" t="str">
        <f t="shared" si="4"/>
        <v>Friday</v>
      </c>
      <c r="D101" t="s">
        <v>107</v>
      </c>
      <c r="E101" s="2">
        <f>12370.5+7830.67</f>
        <v>20201.169999999998</v>
      </c>
      <c r="F101" t="str">
        <f>VLOOKUP(G101,'Expenses Reference'!$A$1:$B$23,2, FALSE)</f>
        <v>Needs</v>
      </c>
      <c r="G101" t="s">
        <v>30</v>
      </c>
    </row>
    <row r="102" spans="1:9" x14ac:dyDescent="0.3">
      <c r="A102" s="107" t="str">
        <f t="shared" si="2"/>
        <v>2024 09 (Sep)</v>
      </c>
      <c r="B102" s="165">
        <v>45541</v>
      </c>
      <c r="C102" s="161" t="str">
        <f t="shared" si="4"/>
        <v>Friday</v>
      </c>
      <c r="D102" t="s">
        <v>67</v>
      </c>
      <c r="E102" s="2">
        <v>156</v>
      </c>
      <c r="F102" t="str">
        <f>VLOOKUP(G102,'Expenses Reference'!$A$1:$B$23,2, FALSE)</f>
        <v>Needs</v>
      </c>
      <c r="G102" t="s">
        <v>35</v>
      </c>
    </row>
    <row r="103" spans="1:9" s="152" customFormat="1" x14ac:dyDescent="0.3">
      <c r="A103" s="167" t="str">
        <f t="shared" si="2"/>
        <v>2024 09 (Sep)</v>
      </c>
      <c r="B103" s="164">
        <v>45542</v>
      </c>
      <c r="C103" s="160" t="str">
        <f t="shared" si="4"/>
        <v>Saturday</v>
      </c>
      <c r="D103" s="152" t="s">
        <v>69</v>
      </c>
      <c r="E103" s="153">
        <v>200.9</v>
      </c>
      <c r="F103" s="152" t="str">
        <f>VLOOKUP(G103,'Expenses Reference'!$A$1:$B$23,2, FALSE)</f>
        <v>Needs</v>
      </c>
      <c r="G103" s="152" t="s">
        <v>82</v>
      </c>
      <c r="H103" s="154"/>
      <c r="I103" s="154"/>
    </row>
    <row r="104" spans="1:9" s="152" customFormat="1" x14ac:dyDescent="0.3">
      <c r="A104" s="167" t="str">
        <f t="shared" si="2"/>
        <v>2024 09 (Sep)</v>
      </c>
      <c r="B104" s="164">
        <v>45542</v>
      </c>
      <c r="C104" s="160" t="str">
        <f t="shared" si="4"/>
        <v>Saturday</v>
      </c>
      <c r="D104" s="152" t="s">
        <v>70</v>
      </c>
      <c r="E104" s="153">
        <v>119</v>
      </c>
      <c r="F104" s="152" t="str">
        <f>VLOOKUP(G104,'Expenses Reference'!$A$1:$B$23,2, FALSE)</f>
        <v>Wants</v>
      </c>
      <c r="G104" s="152" t="s">
        <v>54</v>
      </c>
      <c r="H104" s="154"/>
      <c r="I104" s="154"/>
    </row>
    <row r="105" spans="1:9" s="152" customFormat="1" x14ac:dyDescent="0.3">
      <c r="A105" s="167" t="str">
        <f t="shared" si="2"/>
        <v>2024 09 (Sep)</v>
      </c>
      <c r="B105" s="164">
        <v>45542</v>
      </c>
      <c r="C105" s="160" t="str">
        <f t="shared" si="4"/>
        <v>Saturday</v>
      </c>
      <c r="D105" s="152" t="s">
        <v>71</v>
      </c>
      <c r="E105" s="153">
        <v>129</v>
      </c>
      <c r="F105" s="152" t="str">
        <f>VLOOKUP(G105,'Expenses Reference'!$A$1:$B$23,2, FALSE)</f>
        <v>Wants</v>
      </c>
      <c r="G105" s="152" t="s">
        <v>54</v>
      </c>
      <c r="H105" s="154"/>
      <c r="I105" s="154"/>
    </row>
    <row r="106" spans="1:9" x14ac:dyDescent="0.3">
      <c r="A106" s="107" t="str">
        <f t="shared" si="2"/>
        <v>2024 09 (Sep)</v>
      </c>
      <c r="B106" s="165">
        <v>45543</v>
      </c>
      <c r="C106" s="161" t="str">
        <f t="shared" si="4"/>
        <v>Sunday</v>
      </c>
      <c r="D106" t="s">
        <v>65</v>
      </c>
      <c r="E106" s="2">
        <v>189</v>
      </c>
      <c r="F106" t="str">
        <f>VLOOKUP(G106,'Expenses Reference'!$A$1:$B$23,2, FALSE)</f>
        <v>Wants</v>
      </c>
      <c r="G106" t="s">
        <v>81</v>
      </c>
    </row>
    <row r="107" spans="1:9" x14ac:dyDescent="0.3">
      <c r="A107" s="107" t="str">
        <f t="shared" si="2"/>
        <v>2024 09 (Sep)</v>
      </c>
      <c r="B107" s="165">
        <v>45543</v>
      </c>
      <c r="C107" s="161" t="str">
        <f t="shared" si="4"/>
        <v>Sunday</v>
      </c>
      <c r="D107" t="s">
        <v>72</v>
      </c>
      <c r="E107" s="2">
        <v>5000</v>
      </c>
      <c r="F107" t="str">
        <f>VLOOKUP(G107,'Expenses Reference'!$A$1:$B$23,2, FALSE)</f>
        <v>Investments</v>
      </c>
      <c r="G107" t="s">
        <v>218</v>
      </c>
    </row>
    <row r="108" spans="1:9" x14ac:dyDescent="0.3">
      <c r="A108" s="107" t="str">
        <f t="shared" si="2"/>
        <v>2024 09 (Sep)</v>
      </c>
      <c r="B108" s="165">
        <v>45543</v>
      </c>
      <c r="C108" s="161" t="str">
        <f t="shared" si="4"/>
        <v>Sunday</v>
      </c>
      <c r="D108" t="s">
        <v>73</v>
      </c>
      <c r="E108" s="2">
        <v>111</v>
      </c>
      <c r="F108" t="str">
        <f>VLOOKUP(G108,'Expenses Reference'!$A$1:$B$23,2, FALSE)</f>
        <v>Wants</v>
      </c>
      <c r="G108" t="s">
        <v>84</v>
      </c>
    </row>
    <row r="109" spans="1:9" s="152" customFormat="1" x14ac:dyDescent="0.3">
      <c r="A109" s="167" t="str">
        <f t="shared" si="2"/>
        <v>2024 09 (Sep)</v>
      </c>
      <c r="B109" s="164">
        <v>45544</v>
      </c>
      <c r="C109" s="160" t="str">
        <f t="shared" si="4"/>
        <v>Monday</v>
      </c>
      <c r="D109" s="152" t="s">
        <v>68</v>
      </c>
      <c r="E109" s="153">
        <v>53</v>
      </c>
      <c r="F109" s="152" t="str">
        <f>VLOOKUP(G109,'Expenses Reference'!$A$1:$B$23,2, FALSE)</f>
        <v>Needs</v>
      </c>
      <c r="G109" s="152" t="s">
        <v>213</v>
      </c>
      <c r="H109" s="154"/>
      <c r="I109" s="154"/>
    </row>
    <row r="110" spans="1:9" s="152" customFormat="1" x14ac:dyDescent="0.3">
      <c r="A110" s="167" t="str">
        <f t="shared" si="2"/>
        <v>2024 09 (Sep)</v>
      </c>
      <c r="B110" s="164">
        <v>45544</v>
      </c>
      <c r="C110" s="160" t="str">
        <f t="shared" si="4"/>
        <v>Monday</v>
      </c>
      <c r="D110" s="152" t="s">
        <v>67</v>
      </c>
      <c r="E110" s="153">
        <v>150</v>
      </c>
      <c r="F110" s="152" t="str">
        <f>VLOOKUP(G110,'Expenses Reference'!$A$1:$B$23,2, FALSE)</f>
        <v>Needs</v>
      </c>
      <c r="G110" s="152" t="s">
        <v>35</v>
      </c>
      <c r="H110" s="154"/>
      <c r="I110" s="154"/>
    </row>
    <row r="111" spans="1:9" s="152" customFormat="1" x14ac:dyDescent="0.3">
      <c r="A111" s="167" t="str">
        <f t="shared" si="2"/>
        <v>2024 09 (Sep)</v>
      </c>
      <c r="B111" s="164">
        <v>45544</v>
      </c>
      <c r="C111" s="160" t="str">
        <f t="shared" si="4"/>
        <v>Monday</v>
      </c>
      <c r="D111" s="152" t="s">
        <v>74</v>
      </c>
      <c r="E111" s="153">
        <v>913</v>
      </c>
      <c r="F111" s="152" t="str">
        <f>VLOOKUP(G111,'Expenses Reference'!$A$1:$B$23,2, FALSE)</f>
        <v>Wants</v>
      </c>
      <c r="G111" s="152" t="s">
        <v>188</v>
      </c>
      <c r="H111" s="154"/>
      <c r="I111" s="154"/>
    </row>
    <row r="112" spans="1:9" x14ac:dyDescent="0.3">
      <c r="A112" s="107" t="str">
        <f t="shared" si="2"/>
        <v>2024 09 (Sep)</v>
      </c>
      <c r="B112" s="165">
        <v>45545</v>
      </c>
      <c r="C112" s="161" t="str">
        <f t="shared" si="4"/>
        <v>Tuesday</v>
      </c>
      <c r="D112" t="s">
        <v>65</v>
      </c>
      <c r="E112" s="2">
        <v>326</v>
      </c>
      <c r="F112" t="str">
        <f>VLOOKUP(G112,'Expenses Reference'!$A$1:$B$23,2, FALSE)</f>
        <v>Wants</v>
      </c>
      <c r="G112" t="s">
        <v>81</v>
      </c>
    </row>
    <row r="113" spans="1:9" x14ac:dyDescent="0.3">
      <c r="A113" s="107" t="str">
        <f t="shared" si="2"/>
        <v>2024 09 (Sep)</v>
      </c>
      <c r="B113" s="165">
        <v>45545</v>
      </c>
      <c r="C113" s="161" t="str">
        <f t="shared" si="4"/>
        <v>Tuesday</v>
      </c>
      <c r="D113" t="s">
        <v>78</v>
      </c>
      <c r="E113" s="2">
        <v>35</v>
      </c>
      <c r="F113" t="str">
        <f>VLOOKUP(G113,'Expenses Reference'!$A$1:$B$23,2, FALSE)</f>
        <v>Wants</v>
      </c>
      <c r="G113" t="s">
        <v>84</v>
      </c>
    </row>
    <row r="114" spans="1:9" x14ac:dyDescent="0.3">
      <c r="A114" s="107" t="str">
        <f t="shared" si="2"/>
        <v>2024 09 (Sep)</v>
      </c>
      <c r="B114" s="165">
        <v>45545</v>
      </c>
      <c r="C114" s="161" t="str">
        <f t="shared" si="4"/>
        <v>Tuesday</v>
      </c>
      <c r="D114" t="s">
        <v>98</v>
      </c>
      <c r="E114" s="2">
        <v>2596</v>
      </c>
      <c r="F114" t="str">
        <f>VLOOKUP(G114,'Expenses Reference'!$A$1:$B$23,2, FALSE)</f>
        <v>Wants</v>
      </c>
      <c r="G114" t="s">
        <v>185</v>
      </c>
      <c r="I114" s="1" t="s">
        <v>79</v>
      </c>
    </row>
    <row r="115" spans="1:9" x14ac:dyDescent="0.3">
      <c r="A115" s="107" t="str">
        <f t="shared" si="2"/>
        <v>2024 09 (Sep)</v>
      </c>
      <c r="B115" s="165">
        <v>45545</v>
      </c>
      <c r="C115" s="161" t="str">
        <f t="shared" si="4"/>
        <v>Tuesday</v>
      </c>
      <c r="D115" t="s">
        <v>96</v>
      </c>
      <c r="E115" s="2">
        <v>30</v>
      </c>
      <c r="F115" t="str">
        <f>VLOOKUP(G115,'Expenses Reference'!$A$1:$B$23,2, FALSE)</f>
        <v>Wants</v>
      </c>
      <c r="G115" t="s">
        <v>84</v>
      </c>
    </row>
    <row r="116" spans="1:9" x14ac:dyDescent="0.3">
      <c r="A116" s="107" t="str">
        <f t="shared" si="2"/>
        <v>2024 09 (Sep)</v>
      </c>
      <c r="B116" s="165">
        <v>45545</v>
      </c>
      <c r="C116" s="161" t="str">
        <f t="shared" si="4"/>
        <v>Tuesday</v>
      </c>
      <c r="D116" t="s">
        <v>97</v>
      </c>
      <c r="E116" s="2">
        <v>738</v>
      </c>
      <c r="F116" t="str">
        <f>VLOOKUP(G116,'Expenses Reference'!$A$1:$B$23,2, FALSE)</f>
        <v>Wants</v>
      </c>
      <c r="G116" t="s">
        <v>188</v>
      </c>
    </row>
    <row r="117" spans="1:9" x14ac:dyDescent="0.3">
      <c r="A117" s="107" t="str">
        <f t="shared" si="2"/>
        <v>2024 09 (Sep)</v>
      </c>
      <c r="B117" s="165">
        <v>45545</v>
      </c>
      <c r="C117" s="161" t="str">
        <f t="shared" si="4"/>
        <v>Tuesday</v>
      </c>
      <c r="D117" t="s">
        <v>80</v>
      </c>
      <c r="E117" s="2">
        <v>87</v>
      </c>
      <c r="F117" t="str">
        <f>VLOOKUP(G117,'Expenses Reference'!$A$1:$B$23,2, FALSE)</f>
        <v>Wants</v>
      </c>
      <c r="G117" t="s">
        <v>84</v>
      </c>
    </row>
    <row r="118" spans="1:9" x14ac:dyDescent="0.3">
      <c r="A118" s="107" t="str">
        <f t="shared" si="2"/>
        <v>2024 09 (Sep)</v>
      </c>
      <c r="B118" s="165">
        <v>45545</v>
      </c>
      <c r="C118" s="161" t="str">
        <f t="shared" si="4"/>
        <v>Tuesday</v>
      </c>
      <c r="D118" t="s">
        <v>65</v>
      </c>
      <c r="E118" s="2">
        <f>508/2</f>
        <v>254</v>
      </c>
      <c r="F118" t="str">
        <f>VLOOKUP(G118,'Expenses Reference'!$A$1:$B$23,2, FALSE)</f>
        <v>Wants</v>
      </c>
      <c r="G118" t="s">
        <v>81</v>
      </c>
    </row>
    <row r="119" spans="1:9" s="152" customFormat="1" x14ac:dyDescent="0.3">
      <c r="A119" s="167" t="str">
        <f t="shared" si="2"/>
        <v>2024 09 (Sep)</v>
      </c>
      <c r="B119" s="164">
        <v>45546</v>
      </c>
      <c r="C119" s="160" t="str">
        <f t="shared" si="4"/>
        <v>Wednesday</v>
      </c>
      <c r="D119" s="152" t="s">
        <v>68</v>
      </c>
      <c r="E119" s="153">
        <v>115</v>
      </c>
      <c r="F119" s="152" t="str">
        <f>VLOOKUP(G119,'Expenses Reference'!$A$1:$B$23,2, FALSE)</f>
        <v>Needs</v>
      </c>
      <c r="G119" s="152" t="s">
        <v>213</v>
      </c>
      <c r="H119" s="154"/>
      <c r="I119" s="154"/>
    </row>
    <row r="120" spans="1:9" s="152" customFormat="1" x14ac:dyDescent="0.3">
      <c r="A120" s="167" t="str">
        <f t="shared" si="2"/>
        <v>2024 09 (Sep)</v>
      </c>
      <c r="B120" s="164">
        <v>45546</v>
      </c>
      <c r="C120" s="160" t="str">
        <f t="shared" si="4"/>
        <v>Wednesday</v>
      </c>
      <c r="D120" s="152" t="s">
        <v>99</v>
      </c>
      <c r="E120" s="153">
        <v>1000</v>
      </c>
      <c r="F120" s="152" t="str">
        <f>VLOOKUP(G120,'Expenses Reference'!$A$1:$B$23,2, FALSE)</f>
        <v>Wants</v>
      </c>
      <c r="G120" s="152" t="s">
        <v>215</v>
      </c>
      <c r="H120" s="154"/>
      <c r="I120" s="154"/>
    </row>
    <row r="121" spans="1:9" s="152" customFormat="1" x14ac:dyDescent="0.3">
      <c r="A121" s="167" t="str">
        <f t="shared" si="2"/>
        <v>2024 09 (Sep)</v>
      </c>
      <c r="B121" s="164">
        <v>45546</v>
      </c>
      <c r="C121" s="160" t="str">
        <f t="shared" si="4"/>
        <v>Wednesday</v>
      </c>
      <c r="D121" s="152" t="s">
        <v>67</v>
      </c>
      <c r="E121" s="153">
        <f>264+200</f>
        <v>464</v>
      </c>
      <c r="F121" s="152" t="str">
        <f>VLOOKUP(G121,'Expenses Reference'!$A$1:$B$23,2, FALSE)</f>
        <v>Needs</v>
      </c>
      <c r="G121" s="152" t="s">
        <v>35</v>
      </c>
      <c r="H121" s="154"/>
      <c r="I121" s="154"/>
    </row>
    <row r="122" spans="1:9" s="152" customFormat="1" x14ac:dyDescent="0.3">
      <c r="A122" s="167" t="str">
        <f t="shared" si="2"/>
        <v>2024 09 (Sep)</v>
      </c>
      <c r="B122" s="164">
        <v>45546</v>
      </c>
      <c r="C122" s="160" t="str">
        <f t="shared" si="4"/>
        <v>Wednesday</v>
      </c>
      <c r="D122" s="152" t="s">
        <v>100</v>
      </c>
      <c r="E122" s="153">
        <v>84</v>
      </c>
      <c r="F122" s="152" t="str">
        <f>VLOOKUP(G122,'Expenses Reference'!$A$1:$B$23,2, FALSE)</f>
        <v>Needs</v>
      </c>
      <c r="G122" s="152" t="s">
        <v>213</v>
      </c>
      <c r="H122" s="154"/>
      <c r="I122" s="154"/>
    </row>
    <row r="123" spans="1:9" x14ac:dyDescent="0.3">
      <c r="A123" s="107" t="str">
        <f t="shared" si="2"/>
        <v>2024 09 (Sep)</v>
      </c>
      <c r="B123" s="165">
        <v>45547</v>
      </c>
      <c r="C123" s="161" t="str">
        <f t="shared" si="4"/>
        <v>Thursday</v>
      </c>
      <c r="D123" t="s">
        <v>68</v>
      </c>
      <c r="E123" s="2">
        <v>105</v>
      </c>
      <c r="F123" t="str">
        <f>VLOOKUP(G123,'Expenses Reference'!$A$1:$B$23,2, FALSE)</f>
        <v>Needs</v>
      </c>
      <c r="G123" t="s">
        <v>213</v>
      </c>
    </row>
    <row r="124" spans="1:9" x14ac:dyDescent="0.3">
      <c r="A124" s="107" t="str">
        <f t="shared" si="2"/>
        <v>2024 09 (Sep)</v>
      </c>
      <c r="B124" s="165">
        <v>45547</v>
      </c>
      <c r="C124" s="161" t="str">
        <f t="shared" si="4"/>
        <v>Thursday</v>
      </c>
      <c r="D124" t="s">
        <v>67</v>
      </c>
      <c r="E124" s="2">
        <v>150</v>
      </c>
      <c r="F124" t="str">
        <f>VLOOKUP(G124,'Expenses Reference'!$A$1:$B$23,2, FALSE)</f>
        <v>Needs</v>
      </c>
      <c r="G124" t="s">
        <v>35</v>
      </c>
    </row>
    <row r="125" spans="1:9" x14ac:dyDescent="0.3">
      <c r="A125" s="107" t="str">
        <f t="shared" si="2"/>
        <v>2024 09 (Sep)</v>
      </c>
      <c r="B125" s="165">
        <v>45547</v>
      </c>
      <c r="C125" s="161" t="str">
        <f t="shared" si="4"/>
        <v>Thursday</v>
      </c>
      <c r="D125" t="s">
        <v>101</v>
      </c>
      <c r="E125" s="2">
        <f>81/2</f>
        <v>40.5</v>
      </c>
      <c r="F125" t="str">
        <f>VLOOKUP(G125,'Expenses Reference'!$A$1:$B$23,2, FALSE)</f>
        <v>Wants</v>
      </c>
      <c r="G125" t="s">
        <v>84</v>
      </c>
    </row>
    <row r="126" spans="1:9" x14ac:dyDescent="0.3">
      <c r="A126" s="107" t="str">
        <f t="shared" si="2"/>
        <v>2024 09 (Sep)</v>
      </c>
      <c r="B126" s="165">
        <v>45547</v>
      </c>
      <c r="C126" s="161" t="str">
        <f t="shared" si="4"/>
        <v>Thursday</v>
      </c>
      <c r="D126" t="s">
        <v>102</v>
      </c>
      <c r="E126" s="2">
        <f>45*2</f>
        <v>90</v>
      </c>
      <c r="F126" t="str">
        <f>VLOOKUP(G126,'Expenses Reference'!$A$1:$B$23,2, FALSE)</f>
        <v>Wants</v>
      </c>
      <c r="G126" t="s">
        <v>84</v>
      </c>
    </row>
    <row r="127" spans="1:9" x14ac:dyDescent="0.3">
      <c r="A127" s="107" t="str">
        <f t="shared" si="2"/>
        <v>2024 09 (Sep)</v>
      </c>
      <c r="B127" s="165">
        <v>45547</v>
      </c>
      <c r="C127" s="161" t="str">
        <f t="shared" si="4"/>
        <v>Thursday</v>
      </c>
      <c r="D127" t="s">
        <v>103</v>
      </c>
      <c r="E127" s="2">
        <f>120/4</f>
        <v>30</v>
      </c>
      <c r="F127" t="str">
        <f>VLOOKUP(G127,'Expenses Reference'!$A$1:$B$23,2, FALSE)</f>
        <v>Wants</v>
      </c>
      <c r="G127" t="s">
        <v>84</v>
      </c>
    </row>
    <row r="128" spans="1:9" x14ac:dyDescent="0.3">
      <c r="A128" s="107" t="str">
        <f t="shared" si="2"/>
        <v>2024 09 (Sep)</v>
      </c>
      <c r="B128" s="165">
        <v>45547</v>
      </c>
      <c r="C128" s="161" t="str">
        <f t="shared" si="4"/>
        <v>Thursday</v>
      </c>
      <c r="D128" t="s">
        <v>80</v>
      </c>
      <c r="E128" s="2">
        <v>88</v>
      </c>
      <c r="F128" t="str">
        <f>VLOOKUP(G128,'Expenses Reference'!$A$1:$B$23,2, FALSE)</f>
        <v>Wants</v>
      </c>
      <c r="G128" t="s">
        <v>84</v>
      </c>
    </row>
    <row r="129" spans="1:9" s="152" customFormat="1" x14ac:dyDescent="0.3">
      <c r="A129" s="167" t="str">
        <f t="shared" si="2"/>
        <v>2024 09 (Sep)</v>
      </c>
      <c r="B129" s="164">
        <v>45548</v>
      </c>
      <c r="C129" s="160" t="str">
        <f t="shared" si="4"/>
        <v>Friday</v>
      </c>
      <c r="D129" s="152" t="s">
        <v>68</v>
      </c>
      <c r="E129" s="153">
        <v>57</v>
      </c>
      <c r="F129" s="152" t="str">
        <f>VLOOKUP(G129,'Expenses Reference'!$A$1:$B$23,2, FALSE)</f>
        <v>Needs</v>
      </c>
      <c r="G129" s="152" t="s">
        <v>213</v>
      </c>
      <c r="H129" s="154"/>
      <c r="I129" s="154"/>
    </row>
    <row r="130" spans="1:9" s="152" customFormat="1" x14ac:dyDescent="0.3">
      <c r="A130" s="167" t="str">
        <f t="shared" si="2"/>
        <v>2024 09 (Sep)</v>
      </c>
      <c r="B130" s="164">
        <v>45548</v>
      </c>
      <c r="C130" s="160" t="str">
        <f t="shared" si="4"/>
        <v>Friday</v>
      </c>
      <c r="D130" s="152" t="s">
        <v>67</v>
      </c>
      <c r="E130" s="153">
        <f>300</f>
        <v>300</v>
      </c>
      <c r="F130" s="152" t="str">
        <f>VLOOKUP(G130,'Expenses Reference'!$A$1:$B$23,2, FALSE)</f>
        <v>Needs</v>
      </c>
      <c r="G130" s="152" t="s">
        <v>35</v>
      </c>
      <c r="H130" s="154"/>
      <c r="I130" s="154"/>
    </row>
    <row r="131" spans="1:9" s="152" customFormat="1" x14ac:dyDescent="0.3">
      <c r="A131" s="167" t="str">
        <f t="shared" ref="A131:A194" si="5">_xlfn.CONCAT(YEAR(B131), " ", CHOOSE(MONTH(B131), "01 (Jan)", "02 (Feb)", "03 (Mar)", "04 (Apr)", "05 (May)", "06 (Jun)", "07 (Jul)", "08 (Aug)", "09 (Sep)", "10 (Oct)", "11 (Nov)", "12 (Dec)"))</f>
        <v>2024 09 (Sep)</v>
      </c>
      <c r="B131" s="164">
        <v>45548</v>
      </c>
      <c r="C131" s="160" t="str">
        <f t="shared" si="4"/>
        <v>Friday</v>
      </c>
      <c r="D131" s="152" t="s">
        <v>66</v>
      </c>
      <c r="E131" s="153">
        <v>550</v>
      </c>
      <c r="F131" s="152" t="str">
        <f>VLOOKUP(G131,'Expenses Reference'!$A$1:$B$23,2, FALSE)</f>
        <v>Wants</v>
      </c>
      <c r="G131" s="152" t="s">
        <v>83</v>
      </c>
      <c r="H131" s="154"/>
      <c r="I131" s="154" t="s">
        <v>115</v>
      </c>
    </row>
    <row r="132" spans="1:9" s="152" customFormat="1" x14ac:dyDescent="0.3">
      <c r="A132" s="167" t="str">
        <f t="shared" si="5"/>
        <v>2024 09 (Sep)</v>
      </c>
      <c r="B132" s="164">
        <v>45548</v>
      </c>
      <c r="C132" s="160" t="str">
        <f t="shared" si="4"/>
        <v>Friday</v>
      </c>
      <c r="D132" s="152" t="s">
        <v>109</v>
      </c>
      <c r="E132" s="153">
        <v>159</v>
      </c>
      <c r="F132" s="152" t="str">
        <f>VLOOKUP(G132,'Expenses Reference'!$A$1:$B$23,2, FALSE)</f>
        <v>Wants</v>
      </c>
      <c r="G132" s="152" t="s">
        <v>54</v>
      </c>
      <c r="H132" s="154"/>
      <c r="I132" s="154"/>
    </row>
    <row r="133" spans="1:9" x14ac:dyDescent="0.3">
      <c r="A133" s="107" t="str">
        <f t="shared" si="5"/>
        <v>2024 09 (Sep)</v>
      </c>
      <c r="B133" s="165">
        <v>45550</v>
      </c>
      <c r="C133" s="161" t="str">
        <f t="shared" si="4"/>
        <v>Sunday</v>
      </c>
      <c r="D133" t="s">
        <v>110</v>
      </c>
      <c r="E133" s="2">
        <v>230</v>
      </c>
      <c r="F133" t="str">
        <f>VLOOKUP(G133,'Expenses Reference'!$A$1:$B$23,2, FALSE)</f>
        <v>Wants</v>
      </c>
      <c r="G133" t="s">
        <v>215</v>
      </c>
      <c r="I133" s="1" t="s">
        <v>118</v>
      </c>
    </row>
    <row r="134" spans="1:9" x14ac:dyDescent="0.3">
      <c r="A134" s="107" t="str">
        <f t="shared" si="5"/>
        <v>2024 09 (Sep)</v>
      </c>
      <c r="B134" s="165">
        <v>45550</v>
      </c>
      <c r="C134" s="161" t="str">
        <f t="shared" si="4"/>
        <v>Sunday</v>
      </c>
      <c r="D134" t="s">
        <v>111</v>
      </c>
      <c r="E134" s="2">
        <f>630+826</f>
        <v>1456</v>
      </c>
      <c r="F134" t="str">
        <f>VLOOKUP(G134,'Expenses Reference'!$A$1:$B$23,2, FALSE)</f>
        <v>Wants</v>
      </c>
      <c r="G134" t="s">
        <v>215</v>
      </c>
    </row>
    <row r="135" spans="1:9" x14ac:dyDescent="0.3">
      <c r="A135" s="107" t="str">
        <f t="shared" si="5"/>
        <v>2024 09 (Sep)</v>
      </c>
      <c r="B135" s="165">
        <v>45550</v>
      </c>
      <c r="C135" s="161" t="str">
        <f t="shared" si="4"/>
        <v>Sunday</v>
      </c>
      <c r="D135" t="s">
        <v>112</v>
      </c>
      <c r="E135" s="2">
        <v>49</v>
      </c>
      <c r="F135" t="str">
        <f>VLOOKUP(G135,'Expenses Reference'!$A$1:$B$23,2, FALSE)</f>
        <v>Wants</v>
      </c>
      <c r="G135" t="s">
        <v>83</v>
      </c>
    </row>
    <row r="136" spans="1:9" x14ac:dyDescent="0.3">
      <c r="A136" s="107" t="str">
        <f t="shared" si="5"/>
        <v>2024 09 (Sep)</v>
      </c>
      <c r="B136" s="165">
        <v>45550</v>
      </c>
      <c r="C136" s="161" t="str">
        <f t="shared" si="4"/>
        <v>Sunday</v>
      </c>
      <c r="D136" t="s">
        <v>34</v>
      </c>
      <c r="E136" s="2">
        <f>419/3</f>
        <v>139.66666666666666</v>
      </c>
      <c r="F136" t="str">
        <f>VLOOKUP(G136,'Expenses Reference'!$A$1:$B$23,2, FALSE)</f>
        <v>Needs</v>
      </c>
      <c r="G136" t="s">
        <v>34</v>
      </c>
    </row>
    <row r="137" spans="1:9" x14ac:dyDescent="0.3">
      <c r="A137" s="107" t="str">
        <f t="shared" si="5"/>
        <v>2024 09 (Sep)</v>
      </c>
      <c r="B137" s="165">
        <v>45550</v>
      </c>
      <c r="C137" s="161" t="str">
        <f t="shared" si="4"/>
        <v>Sunday</v>
      </c>
      <c r="D137" t="s">
        <v>113</v>
      </c>
      <c r="E137" s="2">
        <v>316</v>
      </c>
      <c r="F137" t="str">
        <f>VLOOKUP(G137,'Expenses Reference'!$A$1:$B$23,2, FALSE)</f>
        <v>Wants</v>
      </c>
      <c r="G137" t="s">
        <v>215</v>
      </c>
    </row>
    <row r="138" spans="1:9" x14ac:dyDescent="0.3">
      <c r="A138" s="107" t="str">
        <f t="shared" si="5"/>
        <v>2024 09 (Sep)</v>
      </c>
      <c r="B138" s="165">
        <v>45550</v>
      </c>
      <c r="C138" s="161" t="str">
        <f t="shared" si="4"/>
        <v>Sunday</v>
      </c>
      <c r="D138" t="s">
        <v>114</v>
      </c>
      <c r="E138" s="2">
        <v>338</v>
      </c>
      <c r="F138" t="str">
        <f>VLOOKUP(G138,'Expenses Reference'!$A$1:$B$23,2, FALSE)</f>
        <v>Wants</v>
      </c>
      <c r="G138" t="s">
        <v>81</v>
      </c>
      <c r="I138" s="1" t="s">
        <v>116</v>
      </c>
    </row>
    <row r="139" spans="1:9" x14ac:dyDescent="0.3">
      <c r="A139" s="107" t="str">
        <f t="shared" si="5"/>
        <v>2024 09 (Sep)</v>
      </c>
      <c r="B139" s="165">
        <v>45550</v>
      </c>
      <c r="C139" s="161" t="str">
        <f t="shared" si="4"/>
        <v>Sunday</v>
      </c>
      <c r="D139" t="s">
        <v>80</v>
      </c>
      <c r="E139" s="2">
        <f>243/3</f>
        <v>81</v>
      </c>
      <c r="F139" t="str">
        <f>VLOOKUP(G139,'Expenses Reference'!$A$1:$B$23,2, FALSE)</f>
        <v>Wants</v>
      </c>
      <c r="G139" t="s">
        <v>84</v>
      </c>
    </row>
    <row r="140" spans="1:9" s="152" customFormat="1" x14ac:dyDescent="0.3">
      <c r="A140" s="167" t="str">
        <f t="shared" si="5"/>
        <v>2024 09 (Sep)</v>
      </c>
      <c r="B140" s="164">
        <v>45552</v>
      </c>
      <c r="C140" s="163" t="str">
        <f t="shared" si="4"/>
        <v>Tuesday</v>
      </c>
      <c r="D140" s="152" t="s">
        <v>120</v>
      </c>
      <c r="E140" s="153">
        <v>17161</v>
      </c>
      <c r="F140" s="152" t="str">
        <f>VLOOKUP(G140,'Expenses Reference'!$A$1:$B$23,2, FALSE)</f>
        <v>Needs</v>
      </c>
      <c r="G140" s="152" t="s">
        <v>119</v>
      </c>
      <c r="H140" s="154" t="s">
        <v>474</v>
      </c>
      <c r="I140" s="154" t="s">
        <v>121</v>
      </c>
    </row>
    <row r="141" spans="1:9" s="152" customFormat="1" x14ac:dyDescent="0.3">
      <c r="A141" s="167" t="str">
        <f t="shared" si="5"/>
        <v>2024 09 (Sep)</v>
      </c>
      <c r="B141" s="164">
        <v>45552</v>
      </c>
      <c r="C141" s="160" t="str">
        <f t="shared" ref="C141:C153" si="6">CHOOSE(WEEKDAY(B141),"Sunday","Monday","Tuesday","Wednesday","Thursday","Friday","Saturday")</f>
        <v>Tuesday</v>
      </c>
      <c r="D141" s="152" t="s">
        <v>65</v>
      </c>
      <c r="E141" s="153">
        <v>955</v>
      </c>
      <c r="F141" s="152" t="str">
        <f>VLOOKUP(G141,'Expenses Reference'!$A$1:$B$23,2, FALSE)</f>
        <v>Wants</v>
      </c>
      <c r="G141" s="152" t="s">
        <v>81</v>
      </c>
      <c r="H141" s="154"/>
      <c r="I141" s="154"/>
    </row>
    <row r="142" spans="1:9" x14ac:dyDescent="0.3">
      <c r="A142" s="107" t="str">
        <f t="shared" si="5"/>
        <v>2024 09 (Sep)</v>
      </c>
      <c r="B142" s="165">
        <v>45553</v>
      </c>
      <c r="C142" s="162" t="str">
        <f t="shared" si="6"/>
        <v>Wednesday</v>
      </c>
      <c r="D142" t="s">
        <v>169</v>
      </c>
      <c r="E142" s="2">
        <v>102</v>
      </c>
      <c r="F142" t="str">
        <f>VLOOKUP(G142,'Expenses Reference'!$A$1:$B$23,2, FALSE)</f>
        <v>Needs</v>
      </c>
      <c r="G142" t="s">
        <v>213</v>
      </c>
    </row>
    <row r="143" spans="1:9" x14ac:dyDescent="0.3">
      <c r="A143" s="107" t="str">
        <f t="shared" si="5"/>
        <v>2024 09 (Sep)</v>
      </c>
      <c r="B143" s="165">
        <v>45553</v>
      </c>
      <c r="C143" s="162" t="str">
        <f t="shared" si="6"/>
        <v>Wednesday</v>
      </c>
      <c r="D143" t="s">
        <v>67</v>
      </c>
      <c r="E143" s="2">
        <f>195+94+40</f>
        <v>329</v>
      </c>
      <c r="F143" t="str">
        <f>VLOOKUP(G143,'Expenses Reference'!$A$1:$B$23,2, FALSE)</f>
        <v>Needs</v>
      </c>
      <c r="G143" t="s">
        <v>35</v>
      </c>
    </row>
    <row r="144" spans="1:9" x14ac:dyDescent="0.3">
      <c r="A144" s="107" t="str">
        <f t="shared" si="5"/>
        <v>2024 09 (Sep)</v>
      </c>
      <c r="B144" s="165">
        <v>45553</v>
      </c>
      <c r="C144" s="162" t="str">
        <f t="shared" si="6"/>
        <v>Wednesday</v>
      </c>
      <c r="D144" t="s">
        <v>186</v>
      </c>
      <c r="E144" s="2">
        <v>95</v>
      </c>
      <c r="F144" t="str">
        <f>VLOOKUP(G144,'Expenses Reference'!$A$1:$B$23,2, FALSE)</f>
        <v>Needs</v>
      </c>
      <c r="G144" t="s">
        <v>35</v>
      </c>
      <c r="I144" s="1" t="s">
        <v>187</v>
      </c>
    </row>
    <row r="145" spans="1:9" s="152" customFormat="1" x14ac:dyDescent="0.3">
      <c r="A145" s="167" t="str">
        <f t="shared" si="5"/>
        <v>2024 09 (Sep)</v>
      </c>
      <c r="B145" s="164">
        <v>45554</v>
      </c>
      <c r="C145" s="163" t="str">
        <f t="shared" si="6"/>
        <v>Thursday</v>
      </c>
      <c r="D145" s="152" t="s">
        <v>68</v>
      </c>
      <c r="E145" s="153">
        <v>95</v>
      </c>
      <c r="F145" s="152" t="str">
        <f>VLOOKUP(G145,'Expenses Reference'!$A$1:$B$23,2, FALSE)</f>
        <v>Needs</v>
      </c>
      <c r="G145" s="152" t="s">
        <v>213</v>
      </c>
      <c r="H145" s="154"/>
      <c r="I145" s="154"/>
    </row>
    <row r="146" spans="1:9" s="152" customFormat="1" x14ac:dyDescent="0.3">
      <c r="A146" s="167" t="str">
        <f t="shared" si="5"/>
        <v>2024 09 (Sep)</v>
      </c>
      <c r="B146" s="164">
        <v>45554</v>
      </c>
      <c r="C146" s="163" t="str">
        <f t="shared" si="6"/>
        <v>Thursday</v>
      </c>
      <c r="D146" s="152" t="s">
        <v>67</v>
      </c>
      <c r="E146" s="153">
        <f>204+185</f>
        <v>389</v>
      </c>
      <c r="F146" s="152" t="str">
        <f>VLOOKUP(G146,'Expenses Reference'!$A$1:$B$23,2, FALSE)</f>
        <v>Needs</v>
      </c>
      <c r="G146" s="152" t="s">
        <v>35</v>
      </c>
      <c r="H146" s="154"/>
      <c r="I146" s="154"/>
    </row>
    <row r="147" spans="1:9" s="152" customFormat="1" x14ac:dyDescent="0.3">
      <c r="A147" s="167" t="str">
        <f t="shared" si="5"/>
        <v>2024 09 (Sep)</v>
      </c>
      <c r="B147" s="164">
        <v>45554</v>
      </c>
      <c r="C147" s="163" t="str">
        <f t="shared" si="6"/>
        <v>Thursday</v>
      </c>
      <c r="D147" s="152" t="s">
        <v>80</v>
      </c>
      <c r="E147" s="153">
        <v>63</v>
      </c>
      <c r="F147" s="152" t="str">
        <f>VLOOKUP(G147,'Expenses Reference'!$A$1:$B$23,2, FALSE)</f>
        <v>Needs</v>
      </c>
      <c r="G147" s="152" t="s">
        <v>213</v>
      </c>
      <c r="H147" s="154"/>
      <c r="I147" s="154"/>
    </row>
    <row r="148" spans="1:9" s="152" customFormat="1" x14ac:dyDescent="0.3">
      <c r="A148" s="167" t="str">
        <f t="shared" si="5"/>
        <v>2024 09 (Sep)</v>
      </c>
      <c r="B148" s="164">
        <v>45554</v>
      </c>
      <c r="C148" s="163" t="str">
        <f t="shared" si="6"/>
        <v>Thursday</v>
      </c>
      <c r="D148" s="152" t="s">
        <v>66</v>
      </c>
      <c r="E148" s="153">
        <v>420.16</v>
      </c>
      <c r="F148" s="152" t="str">
        <f>VLOOKUP(G148,'Expenses Reference'!$A$1:$B$23,2, FALSE)</f>
        <v>Needs</v>
      </c>
      <c r="G148" s="152" t="s">
        <v>34</v>
      </c>
      <c r="H148" s="154"/>
      <c r="I148" s="154"/>
    </row>
    <row r="149" spans="1:9" x14ac:dyDescent="0.3">
      <c r="A149" s="107" t="str">
        <f t="shared" si="5"/>
        <v>2024 09 (Sep)</v>
      </c>
      <c r="B149" s="165">
        <v>45555</v>
      </c>
      <c r="C149" s="162" t="str">
        <f t="shared" si="6"/>
        <v>Friday</v>
      </c>
      <c r="D149" t="s">
        <v>169</v>
      </c>
      <c r="E149" s="2">
        <v>89</v>
      </c>
      <c r="F149" t="str">
        <f>VLOOKUP(G149,'Expenses Reference'!$A$1:$B$23,2, FALSE)</f>
        <v>Needs</v>
      </c>
      <c r="G149" t="s">
        <v>213</v>
      </c>
    </row>
    <row r="150" spans="1:9" x14ac:dyDescent="0.3">
      <c r="A150" s="107" t="str">
        <f t="shared" si="5"/>
        <v>2024 09 (Sep)</v>
      </c>
      <c r="B150" s="165">
        <v>45555</v>
      </c>
      <c r="C150" s="162" t="str">
        <f t="shared" si="6"/>
        <v>Friday</v>
      </c>
      <c r="D150" t="s">
        <v>80</v>
      </c>
      <c r="E150" s="2">
        <v>300</v>
      </c>
      <c r="F150" t="str">
        <f>VLOOKUP(G150,'Expenses Reference'!$A$1:$B$23,2, FALSE)</f>
        <v>Needs</v>
      </c>
      <c r="G150" t="s">
        <v>213</v>
      </c>
    </row>
    <row r="151" spans="1:9" s="152" customFormat="1" x14ac:dyDescent="0.3">
      <c r="A151" s="167" t="str">
        <f t="shared" si="5"/>
        <v>2024 09 (Sep)</v>
      </c>
      <c r="B151" s="164">
        <v>45556</v>
      </c>
      <c r="C151" s="163" t="str">
        <f t="shared" si="6"/>
        <v>Saturday</v>
      </c>
      <c r="D151" s="152" t="s">
        <v>66</v>
      </c>
      <c r="E151" s="153">
        <f>(1185.05-900) +900/3</f>
        <v>585.04999999999995</v>
      </c>
      <c r="F151" s="152" t="str">
        <f>VLOOKUP(G151,'Expenses Reference'!$A$1:$B$23,2, FALSE)</f>
        <v>Needs</v>
      </c>
      <c r="G151" s="152" t="s">
        <v>34</v>
      </c>
      <c r="H151" s="154"/>
      <c r="I151" s="154"/>
    </row>
    <row r="152" spans="1:9" s="152" customFormat="1" x14ac:dyDescent="0.3">
      <c r="A152" s="167" t="str">
        <f t="shared" si="5"/>
        <v>2024 09 (Sep)</v>
      </c>
      <c r="B152" s="164">
        <v>45556</v>
      </c>
      <c r="C152" s="163" t="str">
        <f t="shared" si="6"/>
        <v>Saturday</v>
      </c>
      <c r="D152" s="152" t="s">
        <v>162</v>
      </c>
      <c r="E152" s="153">
        <v>199</v>
      </c>
      <c r="F152" s="152" t="str">
        <f>VLOOKUP(G152,'Expenses Reference'!$A$1:$B$23,2, FALSE)</f>
        <v>Wants</v>
      </c>
      <c r="G152" s="152" t="s">
        <v>54</v>
      </c>
      <c r="H152" s="154"/>
      <c r="I152" s="154"/>
    </row>
    <row r="153" spans="1:9" x14ac:dyDescent="0.3">
      <c r="A153" s="107" t="str">
        <f t="shared" si="5"/>
        <v>2024 09 (Sep)</v>
      </c>
      <c r="B153" s="165">
        <v>45557</v>
      </c>
      <c r="C153" s="162" t="str">
        <f t="shared" si="6"/>
        <v>Sunday</v>
      </c>
      <c r="D153" t="s">
        <v>193</v>
      </c>
      <c r="E153" s="2">
        <v>1212</v>
      </c>
      <c r="F153" t="str">
        <f>VLOOKUP(G153,'Expenses Reference'!$A$1:$B$23,2, FALSE)</f>
        <v>Wants</v>
      </c>
      <c r="G153" t="s">
        <v>83</v>
      </c>
    </row>
    <row r="154" spans="1:9" x14ac:dyDescent="0.3">
      <c r="A154" s="107" t="str">
        <f t="shared" si="5"/>
        <v>2024 09 (Sep)</v>
      </c>
      <c r="B154" s="165">
        <v>45557</v>
      </c>
      <c r="C154" s="162" t="str">
        <f t="shared" ref="C154:C155" si="7">CHOOSE(WEEKDAY(B154),"Sunday","Monday","Tuesday","Wednesday","Thursday","Friday","Saturday")</f>
        <v>Sunday</v>
      </c>
      <c r="D154" t="s">
        <v>194</v>
      </c>
      <c r="E154" s="2">
        <v>601</v>
      </c>
      <c r="F154" t="str">
        <f>VLOOKUP(G154,'Expenses Reference'!$A$1:$B$23,2, FALSE)</f>
        <v>Wants</v>
      </c>
      <c r="G154" t="s">
        <v>191</v>
      </c>
    </row>
    <row r="155" spans="1:9" x14ac:dyDescent="0.3">
      <c r="A155" s="107" t="str">
        <f t="shared" si="5"/>
        <v>2024 09 (Sep)</v>
      </c>
      <c r="B155" s="165">
        <v>45557</v>
      </c>
      <c r="C155" s="162" t="str">
        <f t="shared" si="7"/>
        <v>Sunday</v>
      </c>
      <c r="D155" t="s">
        <v>190</v>
      </c>
      <c r="E155" s="2">
        <f>1399/3</f>
        <v>466.33333333333331</v>
      </c>
      <c r="F155" t="str">
        <f>VLOOKUP(G155,'Expenses Reference'!$A$1:$B$23,2, FALSE)</f>
        <v>Wants</v>
      </c>
      <c r="G155" t="s">
        <v>191</v>
      </c>
    </row>
    <row r="156" spans="1:9" x14ac:dyDescent="0.3">
      <c r="A156" s="107" t="str">
        <f t="shared" si="5"/>
        <v>2024 09 (Sep)</v>
      </c>
      <c r="B156" s="165">
        <v>45557</v>
      </c>
      <c r="C156" s="162" t="str">
        <f t="shared" ref="C156:C157" si="8">CHOOSE(WEEKDAY(B156),"Sunday","Monday","Tuesday","Wednesday","Thursday","Friday","Saturday")</f>
        <v>Sunday</v>
      </c>
      <c r="D156" t="s">
        <v>65</v>
      </c>
      <c r="E156" s="2">
        <v>463</v>
      </c>
      <c r="F156" t="str">
        <f>VLOOKUP(G156,'Expenses Reference'!$A$1:$B$23,2, FALSE)</f>
        <v>Wants</v>
      </c>
      <c r="G156" t="s">
        <v>81</v>
      </c>
    </row>
    <row r="157" spans="1:9" s="152" customFormat="1" x14ac:dyDescent="0.3">
      <c r="A157" s="167" t="str">
        <f t="shared" si="5"/>
        <v>2024 09 (Sep)</v>
      </c>
      <c r="B157" s="164">
        <v>45558</v>
      </c>
      <c r="C157" s="163" t="str">
        <f t="shared" si="8"/>
        <v>Monday</v>
      </c>
      <c r="D157" s="152" t="s">
        <v>195</v>
      </c>
      <c r="E157" s="153">
        <v>5074</v>
      </c>
      <c r="F157" s="152" t="str">
        <f>VLOOKUP(G157,'Expenses Reference'!$A$1:$B$23,2, FALSE)</f>
        <v>Wants</v>
      </c>
      <c r="G157" s="152" t="s">
        <v>188</v>
      </c>
      <c r="H157" s="154"/>
      <c r="I157" s="154" t="s">
        <v>196</v>
      </c>
    </row>
    <row r="158" spans="1:9" s="152" customFormat="1" x14ac:dyDescent="0.3">
      <c r="A158" s="167" t="str">
        <f t="shared" si="5"/>
        <v>2024 09 (Sep)</v>
      </c>
      <c r="B158" s="164">
        <v>45558</v>
      </c>
      <c r="C158" s="163" t="str">
        <f t="shared" ref="C158:C162" si="9">CHOOSE(WEEKDAY(B158),"Sunday","Monday","Tuesday","Wednesday","Thursday","Friday","Saturday")</f>
        <v>Monday</v>
      </c>
      <c r="D158" s="152" t="s">
        <v>66</v>
      </c>
      <c r="E158" s="153">
        <v>343</v>
      </c>
      <c r="F158" s="152" t="str">
        <f>VLOOKUP(G158,'Expenses Reference'!$A$1:$B$23,2, FALSE)</f>
        <v>Needs</v>
      </c>
      <c r="G158" s="152" t="s">
        <v>34</v>
      </c>
      <c r="H158" s="154"/>
      <c r="I158" s="154"/>
    </row>
    <row r="159" spans="1:9" x14ac:dyDescent="0.3">
      <c r="A159" s="107" t="str">
        <f t="shared" si="5"/>
        <v>2024 09 (Sep)</v>
      </c>
      <c r="B159" s="165">
        <v>45559</v>
      </c>
      <c r="C159" s="162" t="str">
        <f t="shared" si="9"/>
        <v>Tuesday</v>
      </c>
      <c r="D159" t="s">
        <v>169</v>
      </c>
      <c r="E159" s="2">
        <v>110</v>
      </c>
      <c r="F159" t="str">
        <f>VLOOKUP(G159,'Expenses Reference'!$A$1:$B$23,2, FALSE)</f>
        <v>Needs</v>
      </c>
      <c r="G159" t="s">
        <v>213</v>
      </c>
    </row>
    <row r="160" spans="1:9" x14ac:dyDescent="0.3">
      <c r="A160" s="107" t="str">
        <f t="shared" si="5"/>
        <v>2024 09 (Sep)</v>
      </c>
      <c r="B160" s="165">
        <v>45559</v>
      </c>
      <c r="C160" s="162" t="str">
        <f t="shared" si="9"/>
        <v>Tuesday</v>
      </c>
      <c r="D160" t="s">
        <v>67</v>
      </c>
      <c r="E160" s="2">
        <f>174+220</f>
        <v>394</v>
      </c>
      <c r="F160" t="str">
        <f>VLOOKUP(G160,'Expenses Reference'!$A$1:$B$23,2, FALSE)</f>
        <v>Needs</v>
      </c>
      <c r="G160" t="s">
        <v>35</v>
      </c>
    </row>
    <row r="161" spans="1:9" x14ac:dyDescent="0.3">
      <c r="A161" s="107" t="str">
        <f t="shared" si="5"/>
        <v>2024 09 (Sep)</v>
      </c>
      <c r="B161" s="165">
        <v>45559</v>
      </c>
      <c r="C161" s="162" t="str">
        <f t="shared" si="9"/>
        <v>Tuesday</v>
      </c>
      <c r="D161" t="s">
        <v>80</v>
      </c>
      <c r="E161" s="2">
        <v>67</v>
      </c>
      <c r="F161" t="str">
        <f>VLOOKUP(G161,'Expenses Reference'!$A$1:$B$23,2, FALSE)</f>
        <v>Needs</v>
      </c>
      <c r="G161" t="s">
        <v>213</v>
      </c>
    </row>
    <row r="162" spans="1:9" s="152" customFormat="1" x14ac:dyDescent="0.3">
      <c r="A162" s="167" t="str">
        <f t="shared" si="5"/>
        <v>2024 09 (Sep)</v>
      </c>
      <c r="B162" s="164">
        <v>45560</v>
      </c>
      <c r="C162" s="163" t="str">
        <f t="shared" si="9"/>
        <v>Wednesday</v>
      </c>
      <c r="D162" s="152" t="s">
        <v>169</v>
      </c>
      <c r="E162" s="153">
        <v>107</v>
      </c>
      <c r="F162" s="152" t="str">
        <f>VLOOKUP(G162,'Expenses Reference'!$A$1:$B$23,2, FALSE)</f>
        <v>Needs</v>
      </c>
      <c r="G162" s="152" t="s">
        <v>213</v>
      </c>
      <c r="H162" s="154"/>
      <c r="I162" s="154"/>
    </row>
    <row r="163" spans="1:9" s="152" customFormat="1" x14ac:dyDescent="0.3">
      <c r="A163" s="167" t="str">
        <f t="shared" si="5"/>
        <v>2024 09 (Sep)</v>
      </c>
      <c r="B163" s="164">
        <v>45560</v>
      </c>
      <c r="C163" s="163" t="str">
        <f t="shared" ref="C163:C165" si="10">CHOOSE(WEEKDAY(B163),"Sunday","Monday","Tuesday","Wednesday","Thursday","Friday","Saturday")</f>
        <v>Wednesday</v>
      </c>
      <c r="D163" s="152" t="s">
        <v>67</v>
      </c>
      <c r="E163" s="153">
        <f>204+84+120+45</f>
        <v>453</v>
      </c>
      <c r="F163" s="152" t="str">
        <f>VLOOKUP(G163,'Expenses Reference'!$A$1:$B$23,2, FALSE)</f>
        <v>Needs</v>
      </c>
      <c r="G163" s="152" t="s">
        <v>35</v>
      </c>
      <c r="H163" s="154"/>
      <c r="I163" s="154"/>
    </row>
    <row r="164" spans="1:9" s="152" customFormat="1" x14ac:dyDescent="0.3">
      <c r="A164" s="167" t="str">
        <f t="shared" si="5"/>
        <v>2024 09 (Sep)</v>
      </c>
      <c r="B164" s="164">
        <v>45560</v>
      </c>
      <c r="C164" s="163" t="str">
        <f t="shared" si="10"/>
        <v>Wednesday</v>
      </c>
      <c r="D164" s="152" t="s">
        <v>80</v>
      </c>
      <c r="E164" s="153">
        <v>64</v>
      </c>
      <c r="F164" s="152" t="str">
        <f>VLOOKUP(G164,'Expenses Reference'!$A$1:$B$23,2, FALSE)</f>
        <v>Needs</v>
      </c>
      <c r="G164" s="152" t="s">
        <v>213</v>
      </c>
      <c r="H164" s="154"/>
      <c r="I164" s="154"/>
    </row>
    <row r="165" spans="1:9" x14ac:dyDescent="0.3">
      <c r="A165" s="107" t="str">
        <f t="shared" si="5"/>
        <v>2024 09 (Sep)</v>
      </c>
      <c r="B165" s="165">
        <v>45561</v>
      </c>
      <c r="C165" s="162" t="str">
        <f t="shared" si="10"/>
        <v>Thursday</v>
      </c>
      <c r="D165" t="s">
        <v>169</v>
      </c>
      <c r="E165" s="2">
        <v>110</v>
      </c>
      <c r="F165" t="str">
        <f>VLOOKUP(G165,'Expenses Reference'!$A$1:$B$23,2, FALSE)</f>
        <v>Needs</v>
      </c>
      <c r="G165" t="s">
        <v>213</v>
      </c>
    </row>
    <row r="166" spans="1:9" x14ac:dyDescent="0.3">
      <c r="A166" s="107" t="str">
        <f t="shared" si="5"/>
        <v>2024 09 (Sep)</v>
      </c>
      <c r="B166" s="165">
        <v>45561</v>
      </c>
      <c r="C166" s="162" t="str">
        <f t="shared" ref="C166:C171" si="11">CHOOSE(WEEKDAY(B166),"Sunday","Monday","Tuesday","Wednesday","Thursday","Friday","Saturday")</f>
        <v>Thursday</v>
      </c>
      <c r="D166" t="s">
        <v>67</v>
      </c>
      <c r="E166" s="2">
        <v>125</v>
      </c>
      <c r="F166" t="str">
        <f>VLOOKUP(G166,'Expenses Reference'!$A$1:$B$23,2, FALSE)</f>
        <v>Needs</v>
      </c>
      <c r="G166" t="s">
        <v>35</v>
      </c>
    </row>
    <row r="167" spans="1:9" x14ac:dyDescent="0.3">
      <c r="A167" s="107" t="str">
        <f t="shared" si="5"/>
        <v>2024 09 (Sep)</v>
      </c>
      <c r="B167" s="165">
        <v>45561</v>
      </c>
      <c r="C167" s="162" t="str">
        <f t="shared" si="11"/>
        <v>Thursday</v>
      </c>
      <c r="D167" t="s">
        <v>197</v>
      </c>
      <c r="E167" s="2">
        <f>104/4</f>
        <v>26</v>
      </c>
      <c r="F167" t="str">
        <f>VLOOKUP(G167,'Expenses Reference'!$A$1:$B$23,2, FALSE)</f>
        <v>Wants</v>
      </c>
      <c r="G167" t="s">
        <v>84</v>
      </c>
    </row>
    <row r="168" spans="1:9" x14ac:dyDescent="0.3">
      <c r="A168" s="107" t="str">
        <f t="shared" si="5"/>
        <v>2024 09 (Sep)</v>
      </c>
      <c r="B168" s="165">
        <v>45561</v>
      </c>
      <c r="C168" s="162" t="str">
        <f t="shared" si="11"/>
        <v>Thursday</v>
      </c>
      <c r="D168" t="s">
        <v>198</v>
      </c>
      <c r="E168" s="2">
        <f>522/3</f>
        <v>174</v>
      </c>
      <c r="F168" t="str">
        <f>VLOOKUP(G168,'Expenses Reference'!$A$1:$B$23,2, FALSE)</f>
        <v>Wants</v>
      </c>
      <c r="G168" t="s">
        <v>81</v>
      </c>
      <c r="I168" s="1" t="s">
        <v>199</v>
      </c>
    </row>
    <row r="169" spans="1:9" x14ac:dyDescent="0.3">
      <c r="A169" s="107" t="str">
        <f t="shared" si="5"/>
        <v>2024 09 (Sep)</v>
      </c>
      <c r="B169" s="165">
        <v>45561</v>
      </c>
      <c r="C169" s="162" t="str">
        <f t="shared" si="11"/>
        <v>Thursday</v>
      </c>
      <c r="D169" t="s">
        <v>201</v>
      </c>
      <c r="E169" s="2">
        <f>(1200+150)/4</f>
        <v>337.5</v>
      </c>
      <c r="F169" t="str">
        <f>VLOOKUP(G169,'Expenses Reference'!$A$1:$B$23,2, FALSE)</f>
        <v>Wants</v>
      </c>
      <c r="G169" t="s">
        <v>215</v>
      </c>
    </row>
    <row r="170" spans="1:9" x14ac:dyDescent="0.3">
      <c r="A170" s="107" t="str">
        <f t="shared" si="5"/>
        <v>2024 09 (Sep)</v>
      </c>
      <c r="B170" s="165">
        <v>45561</v>
      </c>
      <c r="C170" s="162" t="str">
        <f t="shared" si="11"/>
        <v>Thursday</v>
      </c>
      <c r="D170" t="s">
        <v>200</v>
      </c>
      <c r="E170" s="2">
        <f>70+80</f>
        <v>150</v>
      </c>
      <c r="F170" t="str">
        <f>VLOOKUP(G170,'Expenses Reference'!$A$1:$B$23,2, FALSE)</f>
        <v>Wants</v>
      </c>
      <c r="G170" t="s">
        <v>215</v>
      </c>
      <c r="I170" s="1" t="s">
        <v>204</v>
      </c>
    </row>
    <row r="171" spans="1:9" x14ac:dyDescent="0.3">
      <c r="A171" s="107" t="str">
        <f t="shared" si="5"/>
        <v>2024 09 (Sep)</v>
      </c>
      <c r="B171" s="165">
        <v>45561</v>
      </c>
      <c r="C171" s="162" t="str">
        <f t="shared" si="11"/>
        <v>Thursday</v>
      </c>
      <c r="D171" t="s">
        <v>202</v>
      </c>
      <c r="E171" s="2">
        <f>472/4+110</f>
        <v>228</v>
      </c>
      <c r="F171" t="str">
        <f>VLOOKUP(G171,'Expenses Reference'!$A$1:$B$23,2, FALSE)</f>
        <v>Wants</v>
      </c>
      <c r="G171" t="s">
        <v>81</v>
      </c>
      <c r="I171" s="1">
        <v>642</v>
      </c>
    </row>
    <row r="172" spans="1:9" x14ac:dyDescent="0.3">
      <c r="A172" s="107" t="str">
        <f t="shared" si="5"/>
        <v>2024 09 (Sep)</v>
      </c>
      <c r="B172" s="165">
        <v>45561</v>
      </c>
      <c r="C172" s="162" t="str">
        <f t="shared" ref="C172:C174" si="12">CHOOSE(WEEKDAY(B172),"Sunday","Monday","Tuesday","Wednesday","Thursday","Friday","Saturday")</f>
        <v>Thursday</v>
      </c>
      <c r="D172" t="s">
        <v>80</v>
      </c>
      <c r="E172" s="2">
        <f>141/3</f>
        <v>47</v>
      </c>
      <c r="F172" t="str">
        <f>VLOOKUP(G172,'Expenses Reference'!$A$1:$B$23,2, FALSE)</f>
        <v>Wants</v>
      </c>
      <c r="G172" t="s">
        <v>84</v>
      </c>
      <c r="I172" s="1">
        <f>642-60-110</f>
        <v>472</v>
      </c>
    </row>
    <row r="173" spans="1:9" s="152" customFormat="1" x14ac:dyDescent="0.3">
      <c r="A173" s="167" t="str">
        <f t="shared" si="5"/>
        <v>2024 09 (Sep)</v>
      </c>
      <c r="B173" s="164">
        <v>45562</v>
      </c>
      <c r="C173" s="163" t="str">
        <f t="shared" ref="C173" si="13">CHOOSE(WEEKDAY(B173),"Sunday","Monday","Tuesday","Wednesday","Thursday","Friday","Saturday")</f>
        <v>Friday</v>
      </c>
      <c r="D173" s="152" t="s">
        <v>169</v>
      </c>
      <c r="E173" s="153">
        <v>83</v>
      </c>
      <c r="F173" s="152" t="str">
        <f>VLOOKUP(G173,'Expenses Reference'!$A$1:$B$23,2, FALSE)</f>
        <v>Needs</v>
      </c>
      <c r="G173" s="152" t="s">
        <v>213</v>
      </c>
      <c r="H173" s="154"/>
      <c r="I173" s="154"/>
    </row>
    <row r="174" spans="1:9" s="152" customFormat="1" x14ac:dyDescent="0.3">
      <c r="A174" s="167" t="str">
        <f t="shared" si="5"/>
        <v>2024 09 (Sep)</v>
      </c>
      <c r="B174" s="164">
        <v>45562</v>
      </c>
      <c r="C174" s="163" t="str">
        <f t="shared" si="12"/>
        <v>Friday</v>
      </c>
      <c r="D174" s="152" t="s">
        <v>67</v>
      </c>
      <c r="E174" s="153">
        <f>70+35+157.3</f>
        <v>262.3</v>
      </c>
      <c r="F174" s="152" t="str">
        <f>VLOOKUP(G174,'Expenses Reference'!$A$1:$B$23,2, FALSE)</f>
        <v>Needs</v>
      </c>
      <c r="G174" s="152" t="s">
        <v>35</v>
      </c>
      <c r="H174" s="154"/>
      <c r="I174" s="154"/>
    </row>
    <row r="175" spans="1:9" s="152" customFormat="1" x14ac:dyDescent="0.3">
      <c r="A175" s="167" t="str">
        <f t="shared" si="5"/>
        <v>2024 09 (Sep)</v>
      </c>
      <c r="B175" s="164">
        <v>45562</v>
      </c>
      <c r="C175" s="163" t="str">
        <f t="shared" ref="C175:C176" si="14">CHOOSE(WEEKDAY(B175),"Sunday","Monday","Tuesday","Wednesday","Thursday","Friday","Saturday")</f>
        <v>Friday</v>
      </c>
      <c r="D175" s="152" t="s">
        <v>80</v>
      </c>
      <c r="E175" s="153">
        <v>50</v>
      </c>
      <c r="F175" s="152" t="str">
        <f>VLOOKUP(G175,'Expenses Reference'!$A$1:$B$23,2, FALSE)</f>
        <v>Needs</v>
      </c>
      <c r="G175" s="152" t="s">
        <v>213</v>
      </c>
      <c r="H175" s="154"/>
      <c r="I175" s="154"/>
    </row>
    <row r="176" spans="1:9" x14ac:dyDescent="0.3">
      <c r="A176" s="107" t="str">
        <f t="shared" si="5"/>
        <v>2024 09 (Sep)</v>
      </c>
      <c r="B176" s="165">
        <v>45563</v>
      </c>
      <c r="C176" s="162" t="str">
        <f t="shared" si="14"/>
        <v>Saturday</v>
      </c>
      <c r="D176" t="s">
        <v>65</v>
      </c>
      <c r="E176" s="2">
        <v>517</v>
      </c>
      <c r="F176" t="str">
        <f>VLOOKUP(G176,'Expenses Reference'!$A$1:$B$23,2, FALSE)</f>
        <v>Wants</v>
      </c>
      <c r="G176" t="s">
        <v>81</v>
      </c>
      <c r="I176" s="1" t="s">
        <v>206</v>
      </c>
    </row>
    <row r="177" spans="1:9" x14ac:dyDescent="0.3">
      <c r="A177" s="107" t="str">
        <f t="shared" si="5"/>
        <v>2024 09 (Sep)</v>
      </c>
      <c r="B177" s="165">
        <v>45563</v>
      </c>
      <c r="C177" s="162" t="str">
        <f t="shared" ref="C177:C180" si="15">CHOOSE(WEEKDAY(B177),"Sunday","Monday","Tuesday","Wednesday","Thursday","Friday","Saturday")</f>
        <v>Saturday</v>
      </c>
      <c r="D177" t="s">
        <v>205</v>
      </c>
      <c r="E177" s="2">
        <f>90/3</f>
        <v>30</v>
      </c>
      <c r="F177" t="str">
        <f>VLOOKUP(G177,'Expenses Reference'!$A$1:$B$23,2, FALSE)</f>
        <v>Needs</v>
      </c>
      <c r="G177" t="s">
        <v>34</v>
      </c>
    </row>
    <row r="178" spans="1:9" x14ac:dyDescent="0.3">
      <c r="A178" s="107" t="str">
        <f t="shared" si="5"/>
        <v>2024 09 (Sep)</v>
      </c>
      <c r="B178" s="165">
        <v>45563</v>
      </c>
      <c r="C178" s="162" t="str">
        <f t="shared" si="15"/>
        <v>Saturday</v>
      </c>
      <c r="D178" t="s">
        <v>66</v>
      </c>
      <c r="E178" s="2">
        <v>281</v>
      </c>
      <c r="F178" t="str">
        <f>VLOOKUP(G178,'Expenses Reference'!$A$1:$B$23,2, FALSE)</f>
        <v>Wants</v>
      </c>
      <c r="G178" t="s">
        <v>83</v>
      </c>
    </row>
    <row r="179" spans="1:9" s="152" customFormat="1" x14ac:dyDescent="0.3">
      <c r="A179" s="167" t="str">
        <f t="shared" si="5"/>
        <v>2024 09 (Sep)</v>
      </c>
      <c r="B179" s="164">
        <v>45564</v>
      </c>
      <c r="C179" s="163" t="str">
        <f t="shared" si="15"/>
        <v>Sunday</v>
      </c>
      <c r="D179" s="152" t="s">
        <v>114</v>
      </c>
      <c r="E179" s="153">
        <f>468/2</f>
        <v>234</v>
      </c>
      <c r="F179" s="152" t="str">
        <f>VLOOKUP(G179,'Expenses Reference'!$A$1:$B$23,2, FALSE)</f>
        <v>Wants</v>
      </c>
      <c r="G179" s="152" t="s">
        <v>81</v>
      </c>
      <c r="H179" s="154"/>
      <c r="I179" s="154"/>
    </row>
    <row r="180" spans="1:9" x14ac:dyDescent="0.3">
      <c r="A180" s="107" t="str">
        <f t="shared" si="5"/>
        <v>2024 09 (Sep)</v>
      </c>
      <c r="B180" s="165">
        <v>45565</v>
      </c>
      <c r="C180" s="162" t="str">
        <f t="shared" si="15"/>
        <v>Monday</v>
      </c>
      <c r="D180" t="s">
        <v>211</v>
      </c>
      <c r="E180" s="2">
        <v>409</v>
      </c>
      <c r="F180" t="str">
        <f>VLOOKUP(G180,'Expenses Reference'!$A$1:$B$23,2, FALSE)</f>
        <v>Wants</v>
      </c>
      <c r="G180" t="s">
        <v>81</v>
      </c>
    </row>
    <row r="181" spans="1:9" x14ac:dyDescent="0.3">
      <c r="A181" s="107" t="str">
        <f t="shared" si="5"/>
        <v>2024 09 (Sep)</v>
      </c>
      <c r="B181" s="165">
        <v>45565</v>
      </c>
      <c r="C181" s="162" t="str">
        <f t="shared" ref="C181:C182" si="16">CHOOSE(WEEKDAY(B181),"Sunday","Monday","Tuesday","Wednesday","Thursday","Friday","Saturday")</f>
        <v>Monday</v>
      </c>
      <c r="D181" t="s">
        <v>66</v>
      </c>
      <c r="E181" s="2">
        <v>494</v>
      </c>
      <c r="F181" t="str">
        <f>VLOOKUP(G181,'Expenses Reference'!$A$1:$B$23,2, FALSE)</f>
        <v>Needs</v>
      </c>
      <c r="G181" t="s">
        <v>34</v>
      </c>
    </row>
    <row r="182" spans="1:9" s="199" customFormat="1" ht="15" thickBot="1" x14ac:dyDescent="0.35">
      <c r="A182" s="196" t="str">
        <f t="shared" si="5"/>
        <v>2024 09 (Sep)</v>
      </c>
      <c r="B182" s="197">
        <v>45565</v>
      </c>
      <c r="C182" s="198" t="str">
        <f t="shared" si="16"/>
        <v>Monday</v>
      </c>
      <c r="D182" s="199" t="s">
        <v>208</v>
      </c>
      <c r="E182" s="200">
        <v>494</v>
      </c>
      <c r="F182" s="199" t="str">
        <f>VLOOKUP(G182,'Expenses Reference'!$A$1:$B$23,2, FALSE)</f>
        <v>Wants</v>
      </c>
      <c r="G182" s="199" t="s">
        <v>83</v>
      </c>
      <c r="H182" s="201"/>
      <c r="I182" s="201"/>
    </row>
    <row r="183" spans="1:9" s="152" customFormat="1" x14ac:dyDescent="0.3">
      <c r="A183" s="167" t="str">
        <f t="shared" si="5"/>
        <v>2024 10 (Oct)</v>
      </c>
      <c r="B183" s="164">
        <v>45566</v>
      </c>
      <c r="C183" s="163" t="str">
        <f t="shared" ref="C183" si="17">CHOOSE(WEEKDAY(B183),"Sunday","Monday","Tuesday","Wednesday","Thursday","Friday","Saturday")</f>
        <v>Tuesday</v>
      </c>
      <c r="D183" s="152" t="s">
        <v>185</v>
      </c>
      <c r="E183" s="153">
        <v>2248</v>
      </c>
      <c r="F183" s="152" t="str">
        <f>VLOOKUP(G183,'Expenses Reference'!$A$1:$B$23,2, FALSE)</f>
        <v>Wants</v>
      </c>
      <c r="G183" s="152" t="s">
        <v>185</v>
      </c>
      <c r="H183" s="154"/>
      <c r="I183" s="154"/>
    </row>
    <row r="184" spans="1:9" s="152" customFormat="1" x14ac:dyDescent="0.3">
      <c r="A184" s="167" t="str">
        <f t="shared" si="5"/>
        <v>2024 10 (Oct)</v>
      </c>
      <c r="B184" s="164">
        <v>45566</v>
      </c>
      <c r="C184" s="163" t="str">
        <f t="shared" ref="C184" si="18">CHOOSE(WEEKDAY(B184),"Sunday","Monday","Tuesday","Wednesday","Thursday","Friday","Saturday")</f>
        <v>Tuesday</v>
      </c>
      <c r="D184" s="152" t="s">
        <v>209</v>
      </c>
      <c r="E184" s="153">
        <v>15000</v>
      </c>
      <c r="F184" s="152" t="str">
        <f>VLOOKUP(G184,'Expenses Reference'!$A$1:$B$23,2, FALSE)</f>
        <v>Investments</v>
      </c>
      <c r="G184" s="152" t="s">
        <v>217</v>
      </c>
      <c r="H184" s="154"/>
      <c r="I184" s="154"/>
    </row>
    <row r="185" spans="1:9" s="152" customFormat="1" x14ac:dyDescent="0.3">
      <c r="A185" s="167" t="str">
        <f t="shared" si="5"/>
        <v>2024 10 (Oct)</v>
      </c>
      <c r="B185" s="164">
        <v>45566</v>
      </c>
      <c r="C185" s="163" t="str">
        <f t="shared" ref="C185" si="19">CHOOSE(WEEKDAY(B185),"Sunday","Monday","Tuesday","Wednesday","Thursday","Friday","Saturday")</f>
        <v>Tuesday</v>
      </c>
      <c r="D185" s="152" t="s">
        <v>107</v>
      </c>
      <c r="E185" s="153">
        <f>20000+2000/3</f>
        <v>20666.666666666668</v>
      </c>
      <c r="F185" s="152" t="str">
        <f>VLOOKUP(G185,'Expenses Reference'!$A$1:$B$23,2, FALSE)</f>
        <v>Needs</v>
      </c>
      <c r="G185" s="152" t="s">
        <v>30</v>
      </c>
      <c r="H185" s="154"/>
      <c r="I185" s="154"/>
    </row>
    <row r="186" spans="1:9" s="152" customFormat="1" x14ac:dyDescent="0.3">
      <c r="A186" s="167" t="str">
        <f t="shared" si="5"/>
        <v>2024 10 (Oct)</v>
      </c>
      <c r="B186" s="164">
        <v>45566</v>
      </c>
      <c r="C186" s="163" t="str">
        <f t="shared" ref="C186" si="20">CHOOSE(WEEKDAY(B186),"Sunday","Monday","Tuesday","Wednesday","Thursday","Friday","Saturday")</f>
        <v>Tuesday</v>
      </c>
      <c r="D186" s="152" t="s">
        <v>210</v>
      </c>
      <c r="E186" s="153">
        <v>355.92</v>
      </c>
      <c r="F186" s="152" t="str">
        <f>VLOOKUP(G186,'Expenses Reference'!$A$1:$B$23,2, FALSE)</f>
        <v>Needs</v>
      </c>
      <c r="G186" s="152" t="s">
        <v>82</v>
      </c>
      <c r="H186" s="154"/>
      <c r="I186" s="154"/>
    </row>
    <row r="187" spans="1:9" s="152" customFormat="1" x14ac:dyDescent="0.3">
      <c r="A187" s="167" t="str">
        <f t="shared" si="5"/>
        <v>2024 10 (Oct)</v>
      </c>
      <c r="B187" s="164">
        <v>45566</v>
      </c>
      <c r="C187" s="163" t="str">
        <f t="shared" ref="C187" si="21">CHOOSE(WEEKDAY(B187),"Sunday","Monday","Tuesday","Wednesday","Thursday","Friday","Saturday")</f>
        <v>Tuesday</v>
      </c>
      <c r="D187" s="152" t="s">
        <v>211</v>
      </c>
      <c r="E187" s="153">
        <v>438</v>
      </c>
      <c r="F187" s="152" t="str">
        <f>VLOOKUP(G187,'Expenses Reference'!$A$1:$B$23,2, FALSE)</f>
        <v>Wants</v>
      </c>
      <c r="G187" s="152" t="s">
        <v>81</v>
      </c>
      <c r="H187" s="154"/>
      <c r="I187" s="154"/>
    </row>
    <row r="188" spans="1:9" s="152" customFormat="1" x14ac:dyDescent="0.3">
      <c r="A188" s="167" t="str">
        <f t="shared" si="5"/>
        <v>2024 10 (Oct)</v>
      </c>
      <c r="B188" s="164">
        <v>45566</v>
      </c>
      <c r="C188" s="163" t="str">
        <f t="shared" ref="C188:C190" si="22">CHOOSE(WEEKDAY(B188),"Sunday","Monday","Tuesday","Wednesday","Thursday","Friday","Saturday")</f>
        <v>Tuesday</v>
      </c>
      <c r="D188" s="152" t="s">
        <v>66</v>
      </c>
      <c r="E188" s="153">
        <f>793/3</f>
        <v>264.33333333333331</v>
      </c>
      <c r="F188" s="152" t="str">
        <f>VLOOKUP(G188,'Expenses Reference'!$A$1:$B$23,2, FALSE)</f>
        <v>Needs</v>
      </c>
      <c r="G188" s="152" t="s">
        <v>34</v>
      </c>
      <c r="H188" s="154"/>
      <c r="I188" s="154"/>
    </row>
    <row r="189" spans="1:9" x14ac:dyDescent="0.3">
      <c r="A189" s="107" t="str">
        <f t="shared" si="5"/>
        <v>2024 10 (Oct)</v>
      </c>
      <c r="B189" s="165">
        <v>45567</v>
      </c>
      <c r="C189" s="162" t="str">
        <f t="shared" ref="C189" si="23">CHOOSE(WEEKDAY(B189),"Sunday","Monday","Tuesday","Wednesday","Thursday","Friday","Saturday")</f>
        <v>Wednesday</v>
      </c>
      <c r="D189" t="s">
        <v>66</v>
      </c>
      <c r="E189" s="2">
        <f>145/2+695/3</f>
        <v>304.16666666666663</v>
      </c>
      <c r="F189" t="str">
        <f>VLOOKUP(G189,'Expenses Reference'!$A$1:$B$23,2, FALSE)</f>
        <v>Needs</v>
      </c>
      <c r="G189" t="s">
        <v>34</v>
      </c>
    </row>
    <row r="190" spans="1:9" x14ac:dyDescent="0.3">
      <c r="A190" s="107" t="str">
        <f t="shared" si="5"/>
        <v>2024 10 (Oct)</v>
      </c>
      <c r="B190" s="165">
        <v>45567</v>
      </c>
      <c r="C190" s="162" t="str">
        <f t="shared" si="22"/>
        <v>Wednesday</v>
      </c>
      <c r="D190" t="s">
        <v>222</v>
      </c>
      <c r="E190" s="2">
        <v>36.33</v>
      </c>
      <c r="F190" t="str">
        <f>VLOOKUP(G190,'Expenses Reference'!$A$1:$B$23,2, FALSE)</f>
        <v>Wants</v>
      </c>
      <c r="G190" t="s">
        <v>84</v>
      </c>
    </row>
    <row r="191" spans="1:9" x14ac:dyDescent="0.3">
      <c r="A191" s="107" t="str">
        <f t="shared" si="5"/>
        <v>2024 10 (Oct)</v>
      </c>
      <c r="B191" s="165">
        <v>45567</v>
      </c>
      <c r="C191" s="162" t="str">
        <f t="shared" ref="C191:C196" si="24">CHOOSE(WEEKDAY(B191),"Sunday","Monday","Tuesday","Wednesday","Thursday","Friday","Saturday")</f>
        <v>Wednesday</v>
      </c>
      <c r="D191" t="s">
        <v>114</v>
      </c>
      <c r="E191" s="2">
        <f>305-195</f>
        <v>110</v>
      </c>
      <c r="F191" t="str">
        <f>VLOOKUP(G191,'Expenses Reference'!$A$1:$B$23,2, FALSE)</f>
        <v>Wants</v>
      </c>
      <c r="G191" t="s">
        <v>81</v>
      </c>
    </row>
    <row r="192" spans="1:9" x14ac:dyDescent="0.3">
      <c r="A192" s="107" t="str">
        <f t="shared" si="5"/>
        <v>2024 10 (Oct)</v>
      </c>
      <c r="B192" s="165">
        <v>45567</v>
      </c>
      <c r="C192" s="162" t="str">
        <f t="shared" si="24"/>
        <v>Wednesday</v>
      </c>
      <c r="D192" t="s">
        <v>223</v>
      </c>
      <c r="E192" s="2">
        <v>200</v>
      </c>
      <c r="F192" t="str">
        <f>VLOOKUP(G192,'Expenses Reference'!$A$1:$B$23,2, FALSE)</f>
        <v>Wants</v>
      </c>
      <c r="G192" t="s">
        <v>215</v>
      </c>
    </row>
    <row r="193" spans="1:9" x14ac:dyDescent="0.3">
      <c r="A193" s="107" t="str">
        <f t="shared" si="5"/>
        <v>2024 10 (Oct)</v>
      </c>
      <c r="B193" s="165">
        <v>45567</v>
      </c>
      <c r="C193" s="162" t="str">
        <f t="shared" si="24"/>
        <v>Wednesday</v>
      </c>
      <c r="D193" t="s">
        <v>224</v>
      </c>
      <c r="E193" s="2">
        <v>311.25</v>
      </c>
      <c r="F193" t="str">
        <f>VLOOKUP(G193,'Expenses Reference'!$A$1:$B$23,2, FALSE)</f>
        <v>Wants</v>
      </c>
      <c r="G193" t="s">
        <v>215</v>
      </c>
    </row>
    <row r="194" spans="1:9" x14ac:dyDescent="0.3">
      <c r="A194" s="107" t="str">
        <f t="shared" si="5"/>
        <v>2024 10 (Oct)</v>
      </c>
      <c r="B194" s="165">
        <v>45567</v>
      </c>
      <c r="C194" s="162" t="str">
        <f t="shared" si="24"/>
        <v>Wednesday</v>
      </c>
      <c r="D194" t="s">
        <v>225</v>
      </c>
      <c r="E194" s="2">
        <f>208/2</f>
        <v>104</v>
      </c>
      <c r="F194" t="str">
        <f>VLOOKUP(G194,'Expenses Reference'!$A$1:$B$23,2, FALSE)</f>
        <v>Wants</v>
      </c>
      <c r="G194" t="s">
        <v>81</v>
      </c>
    </row>
    <row r="195" spans="1:9" x14ac:dyDescent="0.3">
      <c r="A195" s="107" t="str">
        <f t="shared" ref="A195:A258" si="25">_xlfn.CONCAT(YEAR(B195), " ", CHOOSE(MONTH(B195), "01 (Jan)", "02 (Feb)", "03 (Mar)", "04 (Apr)", "05 (May)", "06 (Jun)", "07 (Jul)", "08 (Aug)", "09 (Sep)", "10 (Oct)", "11 (Nov)", "12 (Dec)"))</f>
        <v>2024 10 (Oct)</v>
      </c>
      <c r="B195" s="165">
        <v>45567</v>
      </c>
      <c r="C195" s="162" t="str">
        <f t="shared" si="24"/>
        <v>Wednesday</v>
      </c>
      <c r="D195" t="s">
        <v>80</v>
      </c>
      <c r="E195" s="2">
        <f>135/3</f>
        <v>45</v>
      </c>
      <c r="F195" t="str">
        <f>VLOOKUP(G195,'Expenses Reference'!$A$1:$B$23,2, FALSE)</f>
        <v>Wants</v>
      </c>
      <c r="G195" t="s">
        <v>84</v>
      </c>
    </row>
    <row r="196" spans="1:9" s="152" customFormat="1" x14ac:dyDescent="0.3">
      <c r="A196" s="167" t="str">
        <f t="shared" si="25"/>
        <v>2024 10 (Oct)</v>
      </c>
      <c r="B196" s="164">
        <v>45568</v>
      </c>
      <c r="C196" s="163" t="str">
        <f t="shared" si="24"/>
        <v>Thursday</v>
      </c>
      <c r="D196" s="152" t="s">
        <v>226</v>
      </c>
      <c r="E196" s="153">
        <f>2000/3</f>
        <v>666.66666666666663</v>
      </c>
      <c r="F196" s="152" t="str">
        <f>VLOOKUP(G196,'Expenses Reference'!$A$1:$B$23,2, FALSE)</f>
        <v>Needs</v>
      </c>
      <c r="G196" s="152" t="s">
        <v>32</v>
      </c>
      <c r="H196" s="154"/>
      <c r="I196" s="154"/>
    </row>
    <row r="197" spans="1:9" s="152" customFormat="1" x14ac:dyDescent="0.3">
      <c r="A197" s="167" t="str">
        <f t="shared" si="25"/>
        <v>2024 10 (Oct)</v>
      </c>
      <c r="B197" s="164">
        <v>45568</v>
      </c>
      <c r="C197" s="163" t="str">
        <f t="shared" ref="C197:C199" si="26">CHOOSE(WEEKDAY(B197),"Sunday","Monday","Tuesday","Wednesday","Thursday","Friday","Saturday")</f>
        <v>Thursday</v>
      </c>
      <c r="D197" s="152" t="s">
        <v>68</v>
      </c>
      <c r="E197" s="153">
        <v>91</v>
      </c>
      <c r="F197" s="152" t="str">
        <f>VLOOKUP(G197,'Expenses Reference'!$A$1:$B$23,2, FALSE)</f>
        <v>Needs</v>
      </c>
      <c r="G197" s="152" t="s">
        <v>213</v>
      </c>
      <c r="H197" s="154"/>
      <c r="I197" s="154"/>
    </row>
    <row r="198" spans="1:9" s="152" customFormat="1" x14ac:dyDescent="0.3">
      <c r="A198" s="167" t="str">
        <f t="shared" si="25"/>
        <v>2024 10 (Oct)</v>
      </c>
      <c r="B198" s="164">
        <v>45568</v>
      </c>
      <c r="C198" s="163" t="str">
        <f t="shared" si="26"/>
        <v>Thursday</v>
      </c>
      <c r="D198" s="152" t="s">
        <v>67</v>
      </c>
      <c r="E198" s="153">
        <v>35</v>
      </c>
      <c r="F198" s="152" t="str">
        <f>VLOOKUP(G198,'Expenses Reference'!$A$1:$B$23,2, FALSE)</f>
        <v>Needs</v>
      </c>
      <c r="G198" s="152" t="s">
        <v>35</v>
      </c>
      <c r="H198" s="154"/>
      <c r="I198" s="154"/>
    </row>
    <row r="199" spans="1:9" s="152" customFormat="1" x14ac:dyDescent="0.3">
      <c r="A199" s="167" t="str">
        <f t="shared" si="25"/>
        <v>2024 10 (Oct)</v>
      </c>
      <c r="B199" s="164">
        <v>45568</v>
      </c>
      <c r="C199" s="163" t="str">
        <f t="shared" si="26"/>
        <v>Thursday</v>
      </c>
      <c r="D199" s="152" t="s">
        <v>227</v>
      </c>
      <c r="E199" s="153">
        <v>59</v>
      </c>
      <c r="F199" s="152" t="str">
        <f>VLOOKUP(G199,'Expenses Reference'!$A$1:$B$23,2, FALSE)</f>
        <v>Wants</v>
      </c>
      <c r="G199" s="152" t="s">
        <v>84</v>
      </c>
      <c r="H199" s="154"/>
      <c r="I199" s="154"/>
    </row>
    <row r="200" spans="1:9" s="152" customFormat="1" x14ac:dyDescent="0.3">
      <c r="A200" s="167" t="str">
        <f t="shared" si="25"/>
        <v>2024 10 (Oct)</v>
      </c>
      <c r="B200" s="164">
        <v>45568</v>
      </c>
      <c r="C200" s="163" t="str">
        <f t="shared" ref="C200:C201" si="27">CHOOSE(WEEKDAY(B200),"Sunday","Monday","Tuesday","Wednesday","Thursday","Friday","Saturday")</f>
        <v>Thursday</v>
      </c>
      <c r="D200" s="152" t="s">
        <v>207</v>
      </c>
      <c r="E200" s="153">
        <f>130/4</f>
        <v>32.5</v>
      </c>
      <c r="F200" s="152" t="str">
        <f>VLOOKUP(G200,'Expenses Reference'!$A$1:$B$23,2, FALSE)</f>
        <v>Wants</v>
      </c>
      <c r="G200" s="152" t="s">
        <v>84</v>
      </c>
      <c r="H200" s="154"/>
      <c r="I200" s="154"/>
    </row>
    <row r="201" spans="1:9" x14ac:dyDescent="0.3">
      <c r="A201" s="107" t="str">
        <f t="shared" si="25"/>
        <v>2024 10 (Oct)</v>
      </c>
      <c r="B201" s="165">
        <v>45569</v>
      </c>
      <c r="C201" s="162" t="str">
        <f t="shared" si="27"/>
        <v>Friday</v>
      </c>
      <c r="D201" t="s">
        <v>66</v>
      </c>
      <c r="E201" s="2">
        <v>273.5</v>
      </c>
      <c r="F201" t="str">
        <f>VLOOKUP(G201,'Expenses Reference'!$A$1:$B$23,2, FALSE)</f>
        <v>Wants</v>
      </c>
      <c r="G201" t="s">
        <v>83</v>
      </c>
    </row>
    <row r="202" spans="1:9" x14ac:dyDescent="0.3">
      <c r="A202" s="107" t="str">
        <f t="shared" si="25"/>
        <v>2024 10 (Oct)</v>
      </c>
      <c r="B202" s="165">
        <v>45569</v>
      </c>
      <c r="C202" s="162" t="str">
        <f t="shared" ref="C202" si="28">CHOOSE(WEEKDAY(B202),"Sunday","Monday","Tuesday","Wednesday","Thursday","Friday","Saturday")</f>
        <v>Friday</v>
      </c>
      <c r="D202" t="s">
        <v>65</v>
      </c>
      <c r="E202" s="2">
        <v>423</v>
      </c>
      <c r="F202" t="str">
        <f>VLOOKUP(G202,'Expenses Reference'!$A$1:$B$23,2, FALSE)</f>
        <v>Wants</v>
      </c>
      <c r="G202" t="s">
        <v>81</v>
      </c>
      <c r="I202" s="1" t="s">
        <v>229</v>
      </c>
    </row>
    <row r="203" spans="1:9" s="152" customFormat="1" x14ac:dyDescent="0.3">
      <c r="A203" s="167" t="str">
        <f t="shared" si="25"/>
        <v>2024 10 (Oct)</v>
      </c>
      <c r="B203" s="164">
        <v>45570</v>
      </c>
      <c r="C203" s="163" t="str">
        <f t="shared" ref="C203:C204" si="29">CHOOSE(WEEKDAY(B203),"Sunday","Monday","Tuesday","Wednesday","Thursday","Friday","Saturday")</f>
        <v>Saturday</v>
      </c>
      <c r="D203" s="152" t="s">
        <v>233</v>
      </c>
      <c r="E203" s="153">
        <v>17528</v>
      </c>
      <c r="F203" s="152" t="str">
        <f>VLOOKUP(G203,'Expenses Reference'!$A$1:$B$23,2, FALSE)</f>
        <v>Wants</v>
      </c>
      <c r="G203" s="152" t="s">
        <v>188</v>
      </c>
      <c r="H203" s="154"/>
      <c r="I203" s="154" t="s">
        <v>230</v>
      </c>
    </row>
    <row r="204" spans="1:9" s="152" customFormat="1" x14ac:dyDescent="0.3">
      <c r="A204" s="167" t="str">
        <f t="shared" si="25"/>
        <v>2024 10 (Oct)</v>
      </c>
      <c r="B204" s="164">
        <v>45570</v>
      </c>
      <c r="C204" s="163" t="str">
        <f t="shared" si="29"/>
        <v>Saturday</v>
      </c>
      <c r="D204" s="152" t="s">
        <v>232</v>
      </c>
      <c r="E204" s="153">
        <f>600+150</f>
        <v>750</v>
      </c>
      <c r="F204" s="152" t="str">
        <f>VLOOKUP(G204,'Expenses Reference'!$A$1:$B$23,2, FALSE)</f>
        <v>Wants</v>
      </c>
      <c r="G204" s="152" t="s">
        <v>215</v>
      </c>
      <c r="H204" s="154"/>
      <c r="I204" s="154"/>
    </row>
    <row r="205" spans="1:9" s="152" customFormat="1" x14ac:dyDescent="0.3">
      <c r="A205" s="167" t="str">
        <f t="shared" si="25"/>
        <v>2024 10 (Oct)</v>
      </c>
      <c r="B205" s="164">
        <v>45570</v>
      </c>
      <c r="C205" s="163" t="str">
        <f t="shared" ref="C205:C207" si="30">CHOOSE(WEEKDAY(B205),"Sunday","Monday","Tuesday","Wednesday","Thursday","Friday","Saturday")</f>
        <v>Saturday</v>
      </c>
      <c r="D205" s="152" t="s">
        <v>231</v>
      </c>
      <c r="E205" s="153">
        <f>160/3</f>
        <v>53.333333333333336</v>
      </c>
      <c r="F205" s="152" t="str">
        <f>VLOOKUP(G205,'Expenses Reference'!$A$1:$B$23,2, FALSE)</f>
        <v>Wants</v>
      </c>
      <c r="G205" s="152" t="s">
        <v>84</v>
      </c>
      <c r="H205" s="154"/>
      <c r="I205" s="154"/>
    </row>
    <row r="206" spans="1:9" s="152" customFormat="1" x14ac:dyDescent="0.3">
      <c r="A206" s="167" t="str">
        <f t="shared" si="25"/>
        <v>2024 10 (Oct)</v>
      </c>
      <c r="B206" s="164">
        <v>45570</v>
      </c>
      <c r="C206" s="163" t="str">
        <f t="shared" si="30"/>
        <v>Saturday</v>
      </c>
      <c r="D206" s="152" t="s">
        <v>81</v>
      </c>
      <c r="E206" s="153">
        <v>400</v>
      </c>
      <c r="F206" s="152" t="str">
        <f>VLOOKUP(G206,'Expenses Reference'!$A$1:$B$23,2, FALSE)</f>
        <v>Wants</v>
      </c>
      <c r="G206" s="152" t="s">
        <v>81</v>
      </c>
      <c r="H206" s="154"/>
      <c r="I206" s="154" t="s">
        <v>235</v>
      </c>
    </row>
    <row r="207" spans="1:9" s="152" customFormat="1" x14ac:dyDescent="0.3">
      <c r="A207" s="167" t="str">
        <f t="shared" si="25"/>
        <v>2024 10 (Oct)</v>
      </c>
      <c r="B207" s="164">
        <v>45570</v>
      </c>
      <c r="C207" s="163" t="str">
        <f t="shared" si="30"/>
        <v>Saturday</v>
      </c>
      <c r="D207" s="152" t="s">
        <v>80</v>
      </c>
      <c r="E207" s="153">
        <f>324/4</f>
        <v>81</v>
      </c>
      <c r="F207" s="152" t="str">
        <f>VLOOKUP(G207,'Expenses Reference'!$A$1:$B$23,2, FALSE)</f>
        <v>Wants</v>
      </c>
      <c r="G207" s="152" t="s">
        <v>84</v>
      </c>
      <c r="H207" s="154"/>
      <c r="I207" s="154"/>
    </row>
    <row r="208" spans="1:9" x14ac:dyDescent="0.3">
      <c r="A208" s="107" t="str">
        <f t="shared" si="25"/>
        <v>2024 10 (Oct)</v>
      </c>
      <c r="B208" s="165">
        <v>45571</v>
      </c>
      <c r="C208" s="162" t="str">
        <f t="shared" ref="C208" si="31">CHOOSE(WEEKDAY(B208),"Sunday","Monday","Tuesday","Wednesday","Thursday","Friday","Saturday")</f>
        <v>Sunday</v>
      </c>
      <c r="D208" t="s">
        <v>211</v>
      </c>
      <c r="E208" s="2">
        <v>375</v>
      </c>
      <c r="F208" t="str">
        <f>VLOOKUP(G208,'Expenses Reference'!$A$1:$B$23,2, FALSE)</f>
        <v>Wants</v>
      </c>
      <c r="G208" t="s">
        <v>81</v>
      </c>
      <c r="I208" s="1" t="s">
        <v>234</v>
      </c>
    </row>
    <row r="209" spans="1:9" x14ac:dyDescent="0.3">
      <c r="A209" s="107" t="str">
        <f t="shared" si="25"/>
        <v>2024 10 (Oct)</v>
      </c>
      <c r="B209" s="165">
        <v>45571</v>
      </c>
      <c r="C209" s="162" t="str">
        <f t="shared" ref="C209:C210" si="32">CHOOSE(WEEKDAY(B209),"Sunday","Monday","Tuesday","Wednesday","Thursday","Friday","Saturday")</f>
        <v>Sunday</v>
      </c>
      <c r="D209" t="s">
        <v>236</v>
      </c>
      <c r="E209" s="2">
        <v>92</v>
      </c>
      <c r="F209" t="str">
        <f>VLOOKUP(G209,'Expenses Reference'!$A$1:$B$23,2, FALSE)</f>
        <v>Wants</v>
      </c>
      <c r="G209" t="s">
        <v>191</v>
      </c>
    </row>
    <row r="210" spans="1:9" x14ac:dyDescent="0.3">
      <c r="A210" s="107" t="str">
        <f t="shared" si="25"/>
        <v>2024 10 (Oct)</v>
      </c>
      <c r="B210" s="165">
        <v>45571</v>
      </c>
      <c r="C210" s="162" t="str">
        <f t="shared" si="32"/>
        <v>Sunday</v>
      </c>
      <c r="D210" t="s">
        <v>237</v>
      </c>
      <c r="E210" s="2">
        <f>289-E209</f>
        <v>197</v>
      </c>
      <c r="F210" t="str">
        <f>VLOOKUP(G210,'Expenses Reference'!$A$1:$B$23,2, FALSE)</f>
        <v>Wants</v>
      </c>
      <c r="G210" t="s">
        <v>81</v>
      </c>
    </row>
    <row r="211" spans="1:9" s="152" customFormat="1" x14ac:dyDescent="0.3">
      <c r="A211" s="167" t="str">
        <f t="shared" si="25"/>
        <v>2024 10 (Oct)</v>
      </c>
      <c r="B211" s="164">
        <v>45572</v>
      </c>
      <c r="C211" s="163" t="str">
        <f t="shared" ref="C211:C212" si="33">CHOOSE(WEEKDAY(B211),"Sunday","Monday","Tuesday","Wednesday","Thursday","Friday","Saturday")</f>
        <v>Monday</v>
      </c>
      <c r="D211" s="152" t="s">
        <v>70</v>
      </c>
      <c r="E211" s="153">
        <v>119</v>
      </c>
      <c r="F211" s="152" t="str">
        <f>VLOOKUP(G211,'Expenses Reference'!$A$1:$B$23,2, FALSE)</f>
        <v>Wants</v>
      </c>
      <c r="G211" s="152" t="s">
        <v>54</v>
      </c>
      <c r="H211" s="154"/>
      <c r="I211" s="154"/>
    </row>
    <row r="212" spans="1:9" x14ac:dyDescent="0.3">
      <c r="A212" s="107" t="str">
        <f t="shared" si="25"/>
        <v>2024 10 (Oct)</v>
      </c>
      <c r="B212" s="165">
        <v>45573</v>
      </c>
      <c r="C212" s="162" t="str">
        <f t="shared" si="33"/>
        <v>Tuesday</v>
      </c>
      <c r="D212" t="s">
        <v>66</v>
      </c>
      <c r="E212" s="2">
        <f>395+545</f>
        <v>940</v>
      </c>
      <c r="F212" t="str">
        <f>VLOOKUP(G212,'Expenses Reference'!$A$1:$B$23,2, FALSE)</f>
        <v>Needs</v>
      </c>
      <c r="G212" t="s">
        <v>34</v>
      </c>
    </row>
    <row r="213" spans="1:9" x14ac:dyDescent="0.3">
      <c r="A213" s="107" t="str">
        <f t="shared" si="25"/>
        <v>2024 10 (Oct)</v>
      </c>
      <c r="B213" s="165">
        <v>45573</v>
      </c>
      <c r="C213" s="162" t="str">
        <f t="shared" ref="C213" si="34">CHOOSE(WEEKDAY(B213),"Sunday","Monday","Tuesday","Wednesday","Thursday","Friday","Saturday")</f>
        <v>Tuesday</v>
      </c>
      <c r="D213" t="s">
        <v>211</v>
      </c>
      <c r="E213" s="2">
        <v>382</v>
      </c>
      <c r="F213" t="str">
        <f>VLOOKUP(G213,'Expenses Reference'!$A$1:$B$23,2, FALSE)</f>
        <v>Wants</v>
      </c>
      <c r="G213" t="s">
        <v>81</v>
      </c>
    </row>
    <row r="214" spans="1:9" s="152" customFormat="1" x14ac:dyDescent="0.3">
      <c r="A214" s="167" t="str">
        <f t="shared" si="25"/>
        <v>2024 10 (Oct)</v>
      </c>
      <c r="B214" s="164">
        <v>45574</v>
      </c>
      <c r="C214" s="163" t="str">
        <f t="shared" ref="C214:C217" si="35">CHOOSE(WEEKDAY(B214),"Sunday","Monday","Tuesday","Wednesday","Thursday","Friday","Saturday")</f>
        <v>Wednesday</v>
      </c>
      <c r="D214" s="152" t="s">
        <v>169</v>
      </c>
      <c r="E214" s="153">
        <v>87</v>
      </c>
      <c r="F214" s="152" t="str">
        <f>VLOOKUP(G214,'Expenses Reference'!$A$1:$B$23,2, FALSE)</f>
        <v>Needs</v>
      </c>
      <c r="G214" s="152" t="s">
        <v>213</v>
      </c>
      <c r="H214" s="154"/>
      <c r="I214" s="154"/>
    </row>
    <row r="215" spans="1:9" s="152" customFormat="1" x14ac:dyDescent="0.3">
      <c r="A215" s="167" t="str">
        <f t="shared" si="25"/>
        <v>2024 10 (Oct)</v>
      </c>
      <c r="B215" s="164">
        <v>45574</v>
      </c>
      <c r="C215" s="163" t="str">
        <f t="shared" ref="C215" si="36">CHOOSE(WEEKDAY(B215),"Sunday","Monday","Tuesday","Wednesday","Thursday","Friday","Saturday")</f>
        <v>Wednesday</v>
      </c>
      <c r="D215" s="152" t="s">
        <v>67</v>
      </c>
      <c r="E215" s="153">
        <f>169+125+45</f>
        <v>339</v>
      </c>
      <c r="F215" s="152" t="str">
        <f>VLOOKUP(G215,'Expenses Reference'!$A$1:$B$23,2, FALSE)</f>
        <v>Needs</v>
      </c>
      <c r="G215" s="152" t="s">
        <v>35</v>
      </c>
      <c r="H215" s="154"/>
      <c r="I215" s="154"/>
    </row>
    <row r="216" spans="1:9" s="152" customFormat="1" x14ac:dyDescent="0.3">
      <c r="A216" s="167" t="str">
        <f t="shared" si="25"/>
        <v>2024 10 (Oct)</v>
      </c>
      <c r="B216" s="164">
        <v>45574</v>
      </c>
      <c r="C216" s="163" t="str">
        <f t="shared" si="35"/>
        <v>Wednesday</v>
      </c>
      <c r="D216" s="152" t="s">
        <v>240</v>
      </c>
      <c r="E216" s="153">
        <v>1490</v>
      </c>
      <c r="F216" s="152" t="str">
        <f>VLOOKUP(G216,'Expenses Reference'!$A$1:$B$23,2, FALSE)</f>
        <v>Wants</v>
      </c>
      <c r="G216" s="152" t="s">
        <v>54</v>
      </c>
      <c r="H216" s="154"/>
      <c r="I216" s="154" t="s">
        <v>241</v>
      </c>
    </row>
    <row r="217" spans="1:9" s="152" customFormat="1" x14ac:dyDescent="0.3">
      <c r="A217" s="167" t="str">
        <f t="shared" si="25"/>
        <v>2024 10 (Oct)</v>
      </c>
      <c r="B217" s="164">
        <v>45574</v>
      </c>
      <c r="C217" s="163" t="str">
        <f t="shared" si="35"/>
        <v>Wednesday</v>
      </c>
      <c r="D217" s="152" t="s">
        <v>34</v>
      </c>
      <c r="E217" s="153">
        <v>133</v>
      </c>
      <c r="F217" s="152" t="str">
        <f>VLOOKUP(G217,'Expenses Reference'!$A$1:$B$23,2, FALSE)</f>
        <v>Needs</v>
      </c>
      <c r="G217" s="152" t="s">
        <v>34</v>
      </c>
      <c r="H217" s="154"/>
      <c r="I217" s="154"/>
    </row>
    <row r="218" spans="1:9" s="152" customFormat="1" x14ac:dyDescent="0.3">
      <c r="A218" s="167" t="str">
        <f t="shared" si="25"/>
        <v>2024 10 (Oct)</v>
      </c>
      <c r="B218" s="164">
        <v>45574</v>
      </c>
      <c r="C218" s="163" t="str">
        <f t="shared" ref="C218:C221" si="37">CHOOSE(WEEKDAY(B218),"Sunday","Monday","Tuesday","Wednesday","Thursday","Friday","Saturday")</f>
        <v>Wednesday</v>
      </c>
      <c r="D218" s="152" t="s">
        <v>239</v>
      </c>
      <c r="E218" s="153">
        <v>489</v>
      </c>
      <c r="F218" s="152" t="str">
        <f>VLOOKUP(G218,'Expenses Reference'!$A$1:$B$23,2, FALSE)</f>
        <v>Wants</v>
      </c>
      <c r="G218" s="152" t="s">
        <v>81</v>
      </c>
      <c r="H218" s="154"/>
      <c r="I218" s="154"/>
    </row>
    <row r="219" spans="1:9" s="152" customFormat="1" x14ac:dyDescent="0.3">
      <c r="A219" s="167" t="str">
        <f t="shared" si="25"/>
        <v>2024 10 (Oct)</v>
      </c>
      <c r="B219" s="164">
        <v>45574</v>
      </c>
      <c r="C219" s="163" t="str">
        <f t="shared" si="37"/>
        <v>Wednesday</v>
      </c>
      <c r="D219" s="152" t="s">
        <v>80</v>
      </c>
      <c r="E219" s="153">
        <v>39</v>
      </c>
      <c r="F219" s="152" t="str">
        <f>VLOOKUP(G219,'Expenses Reference'!$A$1:$B$23,2, FALSE)</f>
        <v>Wants</v>
      </c>
      <c r="G219" s="152" t="s">
        <v>84</v>
      </c>
      <c r="H219" s="154"/>
      <c r="I219" s="154"/>
    </row>
    <row r="220" spans="1:9" x14ac:dyDescent="0.3">
      <c r="A220" s="107" t="str">
        <f t="shared" si="25"/>
        <v>2024 10 (Oct)</v>
      </c>
      <c r="B220" s="165">
        <v>45575</v>
      </c>
      <c r="C220" s="162" t="str">
        <f t="shared" ref="C220" si="38">CHOOSE(WEEKDAY(B220),"Sunday","Monday","Tuesday","Wednesday","Thursday","Friday","Saturday")</f>
        <v>Thursday</v>
      </c>
      <c r="D220" t="s">
        <v>66</v>
      </c>
      <c r="E220" s="2">
        <v>297.02</v>
      </c>
      <c r="F220" t="str">
        <f>VLOOKUP(G220,'Expenses Reference'!$A$1:$B$23,2, FALSE)</f>
        <v>Wants</v>
      </c>
      <c r="G220" t="s">
        <v>81</v>
      </c>
    </row>
    <row r="221" spans="1:9" x14ac:dyDescent="0.3">
      <c r="A221" s="107" t="str">
        <f t="shared" si="25"/>
        <v>2024 10 (Oct)</v>
      </c>
      <c r="B221" s="165">
        <v>45575</v>
      </c>
      <c r="C221" s="162" t="str">
        <f t="shared" si="37"/>
        <v>Thursday</v>
      </c>
      <c r="D221" t="s">
        <v>169</v>
      </c>
      <c r="E221" s="2">
        <v>81</v>
      </c>
      <c r="F221" t="str">
        <f>VLOOKUP(G221,'Expenses Reference'!$A$1:$B$23,2, FALSE)</f>
        <v>Needs</v>
      </c>
      <c r="G221" t="s">
        <v>213</v>
      </c>
    </row>
    <row r="222" spans="1:9" x14ac:dyDescent="0.3">
      <c r="A222" s="107" t="str">
        <f t="shared" si="25"/>
        <v>2024 10 (Oct)</v>
      </c>
      <c r="B222" s="165">
        <v>45575</v>
      </c>
      <c r="C222" s="162" t="str">
        <f t="shared" ref="C222:C226" si="39">CHOOSE(WEEKDAY(B222),"Sunday","Monday","Tuesday","Wednesday","Thursday","Friday","Saturday")</f>
        <v>Thursday</v>
      </c>
      <c r="D222" t="s">
        <v>80</v>
      </c>
      <c r="E222" s="2">
        <v>60</v>
      </c>
      <c r="F222" t="str">
        <f>VLOOKUP(G222,'Expenses Reference'!$A$1:$B$23,2, FALSE)</f>
        <v>Needs</v>
      </c>
      <c r="G222" t="s">
        <v>213</v>
      </c>
    </row>
    <row r="223" spans="1:9" x14ac:dyDescent="0.3">
      <c r="A223" s="107" t="str">
        <f t="shared" si="25"/>
        <v>2024 10 (Oct)</v>
      </c>
      <c r="B223" s="165">
        <v>45575</v>
      </c>
      <c r="C223" s="162" t="str">
        <f t="shared" si="39"/>
        <v>Thursday</v>
      </c>
      <c r="D223" t="s">
        <v>114</v>
      </c>
      <c r="E223" s="2">
        <v>458</v>
      </c>
      <c r="F223" t="str">
        <f>VLOOKUP(G223,'Expenses Reference'!$A$1:$B$23,2, FALSE)</f>
        <v>Wants</v>
      </c>
      <c r="G223" t="s">
        <v>81</v>
      </c>
    </row>
    <row r="224" spans="1:9" s="152" customFormat="1" x14ac:dyDescent="0.3">
      <c r="A224" s="167" t="str">
        <f t="shared" si="25"/>
        <v>2024 10 (Oct)</v>
      </c>
      <c r="B224" s="164">
        <v>45576</v>
      </c>
      <c r="C224" s="163" t="str">
        <f t="shared" si="39"/>
        <v>Friday</v>
      </c>
      <c r="D224" s="152" t="s">
        <v>66</v>
      </c>
      <c r="E224" s="153">
        <v>514.57000000000005</v>
      </c>
      <c r="F224" s="152" t="str">
        <f>VLOOKUP(G224,'Expenses Reference'!$A$1:$B$23,2, FALSE)</f>
        <v>Needs</v>
      </c>
      <c r="G224" s="152" t="s">
        <v>34</v>
      </c>
      <c r="H224" s="154"/>
      <c r="I224" s="154"/>
    </row>
    <row r="225" spans="1:9" x14ac:dyDescent="0.3">
      <c r="A225" s="107" t="str">
        <f t="shared" si="25"/>
        <v>2024 10 (Oct)</v>
      </c>
      <c r="B225" s="165">
        <v>45577</v>
      </c>
      <c r="C225" s="162" t="str">
        <f t="shared" si="39"/>
        <v>Saturday</v>
      </c>
      <c r="D225" t="s">
        <v>66</v>
      </c>
      <c r="E225" s="2">
        <v>483.21</v>
      </c>
      <c r="F225" t="str">
        <f>VLOOKUP(G225,'Expenses Reference'!$A$1:$B$23,2, FALSE)</f>
        <v>Wants</v>
      </c>
      <c r="G225" t="s">
        <v>81</v>
      </c>
    </row>
    <row r="226" spans="1:9" x14ac:dyDescent="0.3">
      <c r="A226" s="107" t="str">
        <f t="shared" si="25"/>
        <v>2024 10 (Oct)</v>
      </c>
      <c r="B226" s="165">
        <v>45577</v>
      </c>
      <c r="C226" s="162" t="str">
        <f t="shared" si="39"/>
        <v>Saturday</v>
      </c>
      <c r="D226" t="s">
        <v>242</v>
      </c>
      <c r="E226" s="2">
        <v>29</v>
      </c>
      <c r="F226" t="str">
        <f>VLOOKUP(G226,'Expenses Reference'!$A$1:$B$23,2, FALSE)</f>
        <v>Wants</v>
      </c>
      <c r="G226" t="s">
        <v>54</v>
      </c>
    </row>
    <row r="227" spans="1:9" x14ac:dyDescent="0.3">
      <c r="A227" s="107" t="str">
        <f t="shared" si="25"/>
        <v>2024 10 (Oct)</v>
      </c>
      <c r="B227" s="165">
        <v>45577</v>
      </c>
      <c r="C227" s="162" t="str">
        <f t="shared" ref="C227:C228" si="40">CHOOSE(WEEKDAY(B227),"Sunday","Monday","Tuesday","Wednesday","Thursday","Friday","Saturday")</f>
        <v>Saturday</v>
      </c>
      <c r="D227" t="s">
        <v>114</v>
      </c>
      <c r="E227" s="2">
        <v>586</v>
      </c>
      <c r="F227" t="str">
        <f>VLOOKUP(G227,'Expenses Reference'!$A$1:$B$23,2, FALSE)</f>
        <v>Wants</v>
      </c>
      <c r="G227" t="s">
        <v>81</v>
      </c>
    </row>
    <row r="228" spans="1:9" s="152" customFormat="1" x14ac:dyDescent="0.3">
      <c r="A228" s="167" t="str">
        <f t="shared" si="25"/>
        <v>2024 10 (Oct)</v>
      </c>
      <c r="B228" s="164">
        <v>45578</v>
      </c>
      <c r="C228" s="163" t="str">
        <f t="shared" si="40"/>
        <v>Sunday</v>
      </c>
      <c r="D228" s="152" t="s">
        <v>114</v>
      </c>
      <c r="E228" s="153">
        <f>604+581</f>
        <v>1185</v>
      </c>
      <c r="F228" s="152" t="str">
        <f>VLOOKUP(G228,'Expenses Reference'!$A$1:$B$23,2, FALSE)</f>
        <v>Wants</v>
      </c>
      <c r="G228" s="152" t="s">
        <v>81</v>
      </c>
      <c r="H228" s="154"/>
      <c r="I228" s="154"/>
    </row>
    <row r="229" spans="1:9" s="152" customFormat="1" x14ac:dyDescent="0.3">
      <c r="A229" s="167" t="str">
        <f t="shared" si="25"/>
        <v>2024 10 (Oct)</v>
      </c>
      <c r="B229" s="164">
        <v>45578</v>
      </c>
      <c r="C229" s="163" t="str">
        <f t="shared" ref="C229:C230" si="41">CHOOSE(WEEKDAY(B229),"Sunday","Monday","Tuesday","Wednesday","Thursday","Friday","Saturday")</f>
        <v>Sunday</v>
      </c>
      <c r="D229" s="152" t="s">
        <v>243</v>
      </c>
      <c r="E229" s="153">
        <v>708</v>
      </c>
      <c r="F229" s="152" t="str">
        <f>VLOOKUP(G229,'Expenses Reference'!$A$1:$B$23,2, FALSE)</f>
        <v>Wants</v>
      </c>
      <c r="G229" s="152" t="s">
        <v>83</v>
      </c>
      <c r="H229" s="154"/>
      <c r="I229" s="154"/>
    </row>
    <row r="230" spans="1:9" x14ac:dyDescent="0.3">
      <c r="A230" s="107" t="str">
        <f t="shared" si="25"/>
        <v>2024 10 (Oct)</v>
      </c>
      <c r="B230" s="165">
        <v>45579</v>
      </c>
      <c r="C230" s="162" t="str">
        <f t="shared" si="41"/>
        <v>Monday</v>
      </c>
      <c r="D230" t="s">
        <v>114</v>
      </c>
      <c r="E230" s="2">
        <v>642</v>
      </c>
      <c r="F230" t="str">
        <f>VLOOKUP(G230,'Expenses Reference'!$A$1:$B$23,2, FALSE)</f>
        <v>Wants</v>
      </c>
      <c r="G230" t="s">
        <v>81</v>
      </c>
    </row>
    <row r="231" spans="1:9" x14ac:dyDescent="0.3">
      <c r="A231" s="107" t="str">
        <f t="shared" si="25"/>
        <v>2024 10 (Oct)</v>
      </c>
      <c r="B231" s="165">
        <v>45579</v>
      </c>
      <c r="C231" s="162" t="str">
        <f t="shared" ref="C231:C235" si="42">CHOOSE(WEEKDAY(B231),"Sunday","Monday","Tuesday","Wednesday","Thursday","Friday","Saturday")</f>
        <v>Monday</v>
      </c>
      <c r="D231" t="s">
        <v>34</v>
      </c>
      <c r="E231" s="2">
        <f>216+30+30</f>
        <v>276</v>
      </c>
      <c r="F231" t="str">
        <f>VLOOKUP(G231,'Expenses Reference'!$A$1:$B$23,2, FALSE)</f>
        <v>Wants</v>
      </c>
      <c r="G231" t="s">
        <v>81</v>
      </c>
    </row>
    <row r="232" spans="1:9" s="152" customFormat="1" x14ac:dyDescent="0.3">
      <c r="A232" s="167" t="str">
        <f t="shared" si="25"/>
        <v>2024 10 (Oct)</v>
      </c>
      <c r="B232" s="164">
        <v>45580</v>
      </c>
      <c r="C232" s="163" t="str">
        <f t="shared" si="42"/>
        <v>Tuesday</v>
      </c>
      <c r="D232" s="152" t="s">
        <v>114</v>
      </c>
      <c r="E232" s="153">
        <v>442.46</v>
      </c>
      <c r="F232" s="152" t="str">
        <f>VLOOKUP(G232,'Expenses Reference'!$A$1:$B$23,2, FALSE)</f>
        <v>Wants</v>
      </c>
      <c r="G232" s="152" t="s">
        <v>81</v>
      </c>
      <c r="H232" s="154"/>
      <c r="I232" s="154"/>
    </row>
    <row r="233" spans="1:9" x14ac:dyDescent="0.3">
      <c r="A233" s="107" t="str">
        <f t="shared" si="25"/>
        <v>2024 10 (Oct)</v>
      </c>
      <c r="B233" s="165">
        <v>45581</v>
      </c>
      <c r="C233" s="162" t="str">
        <f t="shared" si="42"/>
        <v>Wednesday</v>
      </c>
      <c r="D233" t="s">
        <v>169</v>
      </c>
      <c r="E233" s="2">
        <v>121</v>
      </c>
      <c r="F233" t="str">
        <f>VLOOKUP(G233,'Expenses Reference'!$A$1:$B$23,2, FALSE)</f>
        <v>Needs</v>
      </c>
      <c r="G233" t="s">
        <v>213</v>
      </c>
    </row>
    <row r="234" spans="1:9" x14ac:dyDescent="0.3">
      <c r="A234" s="107" t="str">
        <f t="shared" si="25"/>
        <v>2024 10 (Oct)</v>
      </c>
      <c r="B234" s="165">
        <v>45581</v>
      </c>
      <c r="C234" s="162" t="str">
        <f t="shared" si="42"/>
        <v>Wednesday</v>
      </c>
      <c r="D234" t="s">
        <v>67</v>
      </c>
      <c r="E234" s="2">
        <f>159+102+171</f>
        <v>432</v>
      </c>
      <c r="F234" t="str">
        <f>VLOOKUP(G234,'Expenses Reference'!$A$1:$B$23,2, FALSE)</f>
        <v>Needs</v>
      </c>
      <c r="G234" t="s">
        <v>35</v>
      </c>
    </row>
    <row r="235" spans="1:9" x14ac:dyDescent="0.3">
      <c r="A235" s="107" t="str">
        <f t="shared" si="25"/>
        <v>2024 10 (Oct)</v>
      </c>
      <c r="B235" s="165">
        <v>45581</v>
      </c>
      <c r="C235" s="162" t="str">
        <f t="shared" si="42"/>
        <v>Wednesday</v>
      </c>
      <c r="D235" t="s">
        <v>169</v>
      </c>
      <c r="E235" s="2">
        <v>37</v>
      </c>
      <c r="F235" t="str">
        <f>VLOOKUP(G235,'Expenses Reference'!$A$1:$B$23,2, FALSE)</f>
        <v>Needs</v>
      </c>
      <c r="G235" t="s">
        <v>213</v>
      </c>
    </row>
    <row r="236" spans="1:9" s="152" customFormat="1" x14ac:dyDescent="0.3">
      <c r="A236" s="167" t="str">
        <f t="shared" si="25"/>
        <v>2024 10 (Oct)</v>
      </c>
      <c r="B236" s="164">
        <v>45582</v>
      </c>
      <c r="C236" s="163" t="str">
        <f t="shared" ref="C236:C238" si="43">CHOOSE(WEEKDAY(B236),"Sunday","Monday","Tuesday","Wednesday","Thursday","Friday","Saturday")</f>
        <v>Thursday</v>
      </c>
      <c r="D236" s="152" t="s">
        <v>169</v>
      </c>
      <c r="E236" s="153">
        <v>61</v>
      </c>
      <c r="F236" s="152" t="str">
        <f>VLOOKUP(G236,'Expenses Reference'!$A$1:$B$23,2, FALSE)</f>
        <v>Needs</v>
      </c>
      <c r="G236" s="152" t="s">
        <v>213</v>
      </c>
      <c r="H236" s="154"/>
      <c r="I236" s="154"/>
    </row>
    <row r="237" spans="1:9" s="152" customFormat="1" x14ac:dyDescent="0.3">
      <c r="A237" s="167" t="str">
        <f t="shared" si="25"/>
        <v>2024 10 (Oct)</v>
      </c>
      <c r="B237" s="164">
        <v>45582</v>
      </c>
      <c r="C237" s="163" t="str">
        <f t="shared" si="43"/>
        <v>Thursday</v>
      </c>
      <c r="D237" s="152" t="s">
        <v>67</v>
      </c>
      <c r="E237" s="153">
        <f>95+189+85</f>
        <v>369</v>
      </c>
      <c r="F237" s="152" t="str">
        <f>VLOOKUP(G237,'Expenses Reference'!$A$1:$B$23,2, FALSE)</f>
        <v>Needs</v>
      </c>
      <c r="G237" s="152" t="s">
        <v>35</v>
      </c>
      <c r="H237" s="154"/>
      <c r="I237" s="154"/>
    </row>
    <row r="238" spans="1:9" s="152" customFormat="1" x14ac:dyDescent="0.3">
      <c r="A238" s="167" t="str">
        <f t="shared" si="25"/>
        <v>2024 10 (Oct)</v>
      </c>
      <c r="B238" s="164">
        <v>45582</v>
      </c>
      <c r="C238" s="163" t="str">
        <f t="shared" si="43"/>
        <v>Thursday</v>
      </c>
      <c r="D238" s="152" t="s">
        <v>169</v>
      </c>
      <c r="E238" s="153">
        <v>34</v>
      </c>
      <c r="F238" s="152" t="str">
        <f>VLOOKUP(G238,'Expenses Reference'!$A$1:$B$23,2, FALSE)</f>
        <v>Needs</v>
      </c>
      <c r="G238" s="152" t="s">
        <v>213</v>
      </c>
      <c r="H238" s="154"/>
      <c r="I238" s="154"/>
    </row>
    <row r="239" spans="1:9" s="152" customFormat="1" x14ac:dyDescent="0.3">
      <c r="A239" s="167" t="str">
        <f t="shared" si="25"/>
        <v>2024 10 (Oct)</v>
      </c>
      <c r="B239" s="164">
        <v>45582</v>
      </c>
      <c r="C239" s="163" t="str">
        <f t="shared" ref="C239:C244" si="44">CHOOSE(WEEKDAY(B239),"Sunday","Monday","Tuesday","Wednesday","Thursday","Friday","Saturday")</f>
        <v>Thursday</v>
      </c>
      <c r="D239" s="152" t="s">
        <v>66</v>
      </c>
      <c r="E239" s="153">
        <v>234.88</v>
      </c>
      <c r="F239" s="152" t="str">
        <f>VLOOKUP(G239,'Expenses Reference'!$A$1:$B$23,2, FALSE)</f>
        <v>Wants</v>
      </c>
      <c r="G239" s="152" t="s">
        <v>81</v>
      </c>
      <c r="H239" s="154"/>
      <c r="I239" s="154"/>
    </row>
    <row r="240" spans="1:9" x14ac:dyDescent="0.3">
      <c r="A240" s="107" t="str">
        <f t="shared" si="25"/>
        <v>2024 10 (Oct)</v>
      </c>
      <c r="B240" s="165">
        <v>45583</v>
      </c>
      <c r="C240" s="162" t="str">
        <f t="shared" si="44"/>
        <v>Friday</v>
      </c>
      <c r="D240" t="s">
        <v>169</v>
      </c>
      <c r="E240" s="2">
        <v>121</v>
      </c>
      <c r="F240" t="str">
        <f>VLOOKUP(G240,'Expenses Reference'!$A$1:$B$23,2, FALSE)</f>
        <v>Needs</v>
      </c>
      <c r="G240" t="s">
        <v>213</v>
      </c>
    </row>
    <row r="241" spans="1:9" x14ac:dyDescent="0.3">
      <c r="A241" s="107" t="str">
        <f t="shared" si="25"/>
        <v>2024 10 (Oct)</v>
      </c>
      <c r="B241" s="165">
        <v>45583</v>
      </c>
      <c r="C241" s="162" t="str">
        <f t="shared" si="44"/>
        <v>Friday</v>
      </c>
      <c r="D241" t="s">
        <v>67</v>
      </c>
      <c r="E241" s="2">
        <f>159+102+171</f>
        <v>432</v>
      </c>
      <c r="F241" t="str">
        <f>VLOOKUP(G241,'Expenses Reference'!$A$1:$B$23,2, FALSE)</f>
        <v>Needs</v>
      </c>
      <c r="G241" t="s">
        <v>35</v>
      </c>
    </row>
    <row r="242" spans="1:9" x14ac:dyDescent="0.3">
      <c r="A242" s="107" t="str">
        <f t="shared" si="25"/>
        <v>2024 10 (Oct)</v>
      </c>
      <c r="B242" s="165">
        <v>45583</v>
      </c>
      <c r="C242" s="162" t="str">
        <f t="shared" si="44"/>
        <v>Friday</v>
      </c>
      <c r="D242" t="s">
        <v>169</v>
      </c>
      <c r="E242" s="2">
        <v>37</v>
      </c>
      <c r="F242" t="str">
        <f>VLOOKUP(G242,'Expenses Reference'!$A$1:$B$23,2, FALSE)</f>
        <v>Needs</v>
      </c>
      <c r="G242" t="s">
        <v>213</v>
      </c>
    </row>
    <row r="243" spans="1:9" s="152" customFormat="1" x14ac:dyDescent="0.3">
      <c r="A243" s="167" t="str">
        <f t="shared" si="25"/>
        <v>2024 10 (Oct)</v>
      </c>
      <c r="B243" s="164">
        <v>45584</v>
      </c>
      <c r="C243" s="163" t="str">
        <f t="shared" si="44"/>
        <v>Saturday</v>
      </c>
      <c r="D243" s="152" t="s">
        <v>244</v>
      </c>
      <c r="E243" s="153">
        <f>160/4</f>
        <v>40</v>
      </c>
      <c r="F243" s="152" t="str">
        <f>VLOOKUP(G243,'Expenses Reference'!$A$1:$B$23,2, FALSE)</f>
        <v>Wants</v>
      </c>
      <c r="G243" s="152" t="s">
        <v>84</v>
      </c>
      <c r="H243" s="154"/>
      <c r="I243" s="154"/>
    </row>
    <row r="244" spans="1:9" s="152" customFormat="1" x14ac:dyDescent="0.3">
      <c r="A244" s="167" t="str">
        <f t="shared" si="25"/>
        <v>2024 10 (Oct)</v>
      </c>
      <c r="B244" s="164">
        <v>45584</v>
      </c>
      <c r="C244" s="163" t="str">
        <f t="shared" si="44"/>
        <v>Saturday</v>
      </c>
      <c r="D244" s="152" t="s">
        <v>251</v>
      </c>
      <c r="E244" s="153">
        <v>611.5</v>
      </c>
      <c r="F244" s="152" t="str">
        <f>VLOOKUP(G244,'Expenses Reference'!$A$1:$B$23,2, FALSE)</f>
        <v>Wants</v>
      </c>
      <c r="G244" s="152" t="s">
        <v>81</v>
      </c>
      <c r="H244" s="154"/>
      <c r="I244" s="154" t="s">
        <v>252</v>
      </c>
    </row>
    <row r="245" spans="1:9" s="152" customFormat="1" x14ac:dyDescent="0.3">
      <c r="A245" s="167" t="str">
        <f t="shared" si="25"/>
        <v>2024 10 (Oct)</v>
      </c>
      <c r="B245" s="164">
        <v>45584</v>
      </c>
      <c r="C245" s="163" t="str">
        <f t="shared" ref="C245:C247" si="45">CHOOSE(WEEKDAY(B245),"Sunday","Monday","Tuesday","Wednesday","Thursday","Friday","Saturday")</f>
        <v>Saturday</v>
      </c>
      <c r="D245" s="152" t="s">
        <v>245</v>
      </c>
      <c r="E245" s="153">
        <v>20</v>
      </c>
      <c r="F245" s="152" t="str">
        <f>VLOOKUP(G245,'Expenses Reference'!$A$1:$B$23,2, FALSE)</f>
        <v>Wants</v>
      </c>
      <c r="G245" s="152" t="s">
        <v>84</v>
      </c>
      <c r="H245" s="154"/>
      <c r="I245" s="154"/>
    </row>
    <row r="246" spans="1:9" s="152" customFormat="1" x14ac:dyDescent="0.3">
      <c r="A246" s="167" t="str">
        <f t="shared" si="25"/>
        <v>2024 10 (Oct)</v>
      </c>
      <c r="B246" s="164">
        <v>45584</v>
      </c>
      <c r="C246" s="163" t="str">
        <f t="shared" si="45"/>
        <v>Saturday</v>
      </c>
      <c r="D246" s="152" t="s">
        <v>246</v>
      </c>
      <c r="E246" s="153">
        <v>60</v>
      </c>
      <c r="F246" s="152" t="str">
        <f>VLOOKUP(G246,'Expenses Reference'!$A$1:$B$23,2, FALSE)</f>
        <v>Wants</v>
      </c>
      <c r="G246" s="152" t="s">
        <v>203</v>
      </c>
      <c r="H246" s="154"/>
      <c r="I246" s="154"/>
    </row>
    <row r="247" spans="1:9" s="152" customFormat="1" x14ac:dyDescent="0.3">
      <c r="A247" s="167" t="str">
        <f t="shared" si="25"/>
        <v>2024 10 (Oct)</v>
      </c>
      <c r="B247" s="164">
        <v>45584</v>
      </c>
      <c r="C247" s="163" t="str">
        <f t="shared" si="45"/>
        <v>Saturday</v>
      </c>
      <c r="D247" s="152" t="s">
        <v>247</v>
      </c>
      <c r="E247" s="153">
        <v>60</v>
      </c>
      <c r="F247" s="152" t="str">
        <f>VLOOKUP(G247,'Expenses Reference'!$A$1:$B$23,2, FALSE)</f>
        <v>Wants</v>
      </c>
      <c r="G247" s="152" t="s">
        <v>84</v>
      </c>
      <c r="H247" s="154"/>
      <c r="I247" s="154"/>
    </row>
    <row r="248" spans="1:9" s="152" customFormat="1" x14ac:dyDescent="0.3">
      <c r="A248" s="167" t="str">
        <f t="shared" si="25"/>
        <v>2024 10 (Oct)</v>
      </c>
      <c r="B248" s="164">
        <v>45584</v>
      </c>
      <c r="C248" s="163" t="str">
        <f t="shared" ref="C248:C251" si="46">CHOOSE(WEEKDAY(B248),"Sunday","Monday","Tuesday","Wednesday","Thursday","Friday","Saturday")</f>
        <v>Saturday</v>
      </c>
      <c r="D248" s="152" t="s">
        <v>248</v>
      </c>
      <c r="E248" s="153">
        <v>109.66</v>
      </c>
      <c r="F248" s="152" t="str">
        <f>VLOOKUP(G248,'Expenses Reference'!$A$1:$B$23,2, FALSE)</f>
        <v>Wants</v>
      </c>
      <c r="G248" s="152" t="s">
        <v>81</v>
      </c>
      <c r="H248" s="154"/>
      <c r="I248" s="154"/>
    </row>
    <row r="249" spans="1:9" s="152" customFormat="1" x14ac:dyDescent="0.3">
      <c r="A249" s="167" t="str">
        <f t="shared" si="25"/>
        <v>2024 10 (Oct)</v>
      </c>
      <c r="B249" s="164">
        <v>45584</v>
      </c>
      <c r="C249" s="163" t="str">
        <f t="shared" si="46"/>
        <v>Saturday</v>
      </c>
      <c r="D249" s="152" t="s">
        <v>249</v>
      </c>
      <c r="E249" s="153">
        <f>108/3</f>
        <v>36</v>
      </c>
      <c r="F249" s="152" t="str">
        <f>VLOOKUP(G249,'Expenses Reference'!$A$1:$B$23,2, FALSE)</f>
        <v>Wants</v>
      </c>
      <c r="G249" s="152" t="s">
        <v>84</v>
      </c>
      <c r="H249" s="154"/>
      <c r="I249" s="154"/>
    </row>
    <row r="250" spans="1:9" s="152" customFormat="1" x14ac:dyDescent="0.3">
      <c r="A250" s="167" t="str">
        <f t="shared" si="25"/>
        <v>2024 10 (Oct)</v>
      </c>
      <c r="B250" s="164">
        <v>45584</v>
      </c>
      <c r="C250" s="163" t="str">
        <f t="shared" si="46"/>
        <v>Saturday</v>
      </c>
      <c r="D250" s="152" t="s">
        <v>250</v>
      </c>
      <c r="E250" s="153">
        <v>661.33</v>
      </c>
      <c r="F250" s="152" t="str">
        <f>VLOOKUP(G250,'Expenses Reference'!$A$1:$B$23,2, FALSE)</f>
        <v>Wants</v>
      </c>
      <c r="G250" s="152" t="s">
        <v>81</v>
      </c>
      <c r="H250" s="154"/>
      <c r="I250" s="154"/>
    </row>
    <row r="251" spans="1:9" s="152" customFormat="1" x14ac:dyDescent="0.3">
      <c r="A251" s="167" t="str">
        <f t="shared" si="25"/>
        <v>2024 10 (Oct)</v>
      </c>
      <c r="B251" s="164">
        <v>45584</v>
      </c>
      <c r="C251" s="163" t="str">
        <f t="shared" si="46"/>
        <v>Saturday</v>
      </c>
      <c r="D251" s="152" t="s">
        <v>80</v>
      </c>
      <c r="E251" s="153">
        <v>73</v>
      </c>
      <c r="F251" s="152" t="str">
        <f>VLOOKUP(G251,'Expenses Reference'!$A$1:$B$23,2, FALSE)</f>
        <v>Wants</v>
      </c>
      <c r="G251" s="152" t="s">
        <v>84</v>
      </c>
      <c r="H251" s="154"/>
      <c r="I251" s="154"/>
    </row>
    <row r="252" spans="1:9" x14ac:dyDescent="0.3">
      <c r="A252" s="107" t="str">
        <f t="shared" si="25"/>
        <v>2024 10 (Oct)</v>
      </c>
      <c r="B252" s="165">
        <v>45585</v>
      </c>
      <c r="C252" s="162" t="str">
        <f t="shared" ref="C252" si="47">CHOOSE(WEEKDAY(B252),"Sunday","Monday","Tuesday","Wednesday","Thursday","Friday","Saturday")</f>
        <v>Sunday</v>
      </c>
      <c r="D252" t="s">
        <v>66</v>
      </c>
      <c r="E252" s="2">
        <f>320+160+690/3+350</f>
        <v>1060</v>
      </c>
      <c r="F252" t="str">
        <f>VLOOKUP(G252,'Expenses Reference'!$A$1:$B$23,2, FALSE)</f>
        <v>Needs</v>
      </c>
      <c r="G252" t="s">
        <v>34</v>
      </c>
      <c r="I252" s="1" t="s">
        <v>259</v>
      </c>
    </row>
    <row r="253" spans="1:9" x14ac:dyDescent="0.3">
      <c r="A253" s="107" t="str">
        <f t="shared" si="25"/>
        <v>2024 10 (Oct)</v>
      </c>
      <c r="B253" s="165">
        <v>45585</v>
      </c>
      <c r="C253" s="162" t="str">
        <f t="shared" ref="C253" si="48">CHOOSE(WEEKDAY(B253),"Sunday","Monday","Tuesday","Wednesday","Thursday","Friday","Saturday")</f>
        <v>Sunday</v>
      </c>
      <c r="D253" t="s">
        <v>258</v>
      </c>
      <c r="E253" s="2">
        <v>166.67</v>
      </c>
      <c r="F253" t="str">
        <f>VLOOKUP(G253,'Expenses Reference'!$A$1:$B$23,2, FALSE)</f>
        <v>Needs</v>
      </c>
      <c r="G253" t="s">
        <v>32</v>
      </c>
    </row>
    <row r="254" spans="1:9" x14ac:dyDescent="0.3">
      <c r="A254" s="107" t="str">
        <f t="shared" si="25"/>
        <v>2024 10 (Oct)</v>
      </c>
      <c r="B254" s="165">
        <v>45585</v>
      </c>
      <c r="C254" s="162" t="str">
        <f t="shared" ref="C254:C257" si="49">CHOOSE(WEEKDAY(B254),"Sunday","Monday","Tuesday","Wednesday","Thursday","Friday","Saturday")</f>
        <v>Sunday</v>
      </c>
      <c r="D254" t="s">
        <v>253</v>
      </c>
      <c r="E254" s="2">
        <v>40</v>
      </c>
      <c r="F254" t="str">
        <f>VLOOKUP(G254,'Expenses Reference'!$A$1:$B$23,2, FALSE)</f>
        <v>Wants</v>
      </c>
      <c r="G254" t="s">
        <v>84</v>
      </c>
      <c r="I254" s="1" t="s">
        <v>254</v>
      </c>
    </row>
    <row r="255" spans="1:9" x14ac:dyDescent="0.3">
      <c r="A255" s="107" t="str">
        <f t="shared" si="25"/>
        <v>2024 10 (Oct)</v>
      </c>
      <c r="B255" s="165">
        <v>45585</v>
      </c>
      <c r="C255" s="162" t="str">
        <f t="shared" si="49"/>
        <v>Sunday</v>
      </c>
      <c r="D255" t="s">
        <v>81</v>
      </c>
      <c r="E255" s="2">
        <v>350</v>
      </c>
      <c r="F255" t="str">
        <f>VLOOKUP(G255,'Expenses Reference'!$A$1:$B$23,2, FALSE)</f>
        <v>Wants</v>
      </c>
      <c r="G255" t="s">
        <v>81</v>
      </c>
      <c r="I255" s="1" t="s">
        <v>255</v>
      </c>
    </row>
    <row r="256" spans="1:9" x14ac:dyDescent="0.3">
      <c r="A256" s="107" t="str">
        <f t="shared" si="25"/>
        <v>2024 10 (Oct)</v>
      </c>
      <c r="B256" s="165">
        <v>45585</v>
      </c>
      <c r="C256" s="162" t="str">
        <f t="shared" si="49"/>
        <v>Sunday</v>
      </c>
      <c r="D256" t="s">
        <v>110</v>
      </c>
      <c r="E256" s="2">
        <v>250</v>
      </c>
      <c r="F256" t="str">
        <f>VLOOKUP(G256,'Expenses Reference'!$A$1:$B$23,2, FALSE)</f>
        <v>Wants</v>
      </c>
      <c r="G256" t="s">
        <v>215</v>
      </c>
      <c r="I256" s="1" t="s">
        <v>257</v>
      </c>
    </row>
    <row r="257" spans="1:9" x14ac:dyDescent="0.3">
      <c r="A257" s="107" t="str">
        <f t="shared" si="25"/>
        <v>2024 10 (Oct)</v>
      </c>
      <c r="B257" s="165">
        <v>45585</v>
      </c>
      <c r="C257" s="162" t="str">
        <f t="shared" si="49"/>
        <v>Sunday</v>
      </c>
      <c r="D257" t="s">
        <v>256</v>
      </c>
      <c r="E257" s="2">
        <v>65</v>
      </c>
      <c r="F257" t="str">
        <f>VLOOKUP(G257,'Expenses Reference'!$A$1:$B$23,2, FALSE)</f>
        <v>Wants</v>
      </c>
      <c r="G257" t="s">
        <v>84</v>
      </c>
    </row>
    <row r="258" spans="1:9" s="152" customFormat="1" x14ac:dyDescent="0.3">
      <c r="A258" s="167" t="str">
        <f t="shared" si="25"/>
        <v>2024 10 (Oct)</v>
      </c>
      <c r="B258" s="164">
        <v>45586</v>
      </c>
      <c r="C258" s="163" t="str">
        <f t="shared" ref="C258:C259" si="50">CHOOSE(WEEKDAY(B258),"Sunday","Monday","Tuesday","Wednesday","Thursday","Friday","Saturday")</f>
        <v>Monday</v>
      </c>
      <c r="D258" s="152" t="s">
        <v>66</v>
      </c>
      <c r="E258" s="153">
        <v>672.42</v>
      </c>
      <c r="F258" s="152" t="str">
        <f>VLOOKUP(G258,'Expenses Reference'!$A$1:$B$23,2, FALSE)</f>
        <v>Wants</v>
      </c>
      <c r="G258" s="152" t="s">
        <v>81</v>
      </c>
      <c r="H258" s="154"/>
      <c r="I258" s="154"/>
    </row>
    <row r="259" spans="1:9" x14ac:dyDescent="0.3">
      <c r="A259" s="107" t="str">
        <f t="shared" ref="A259:A322" si="51">_xlfn.CONCAT(YEAR(B259), " ", CHOOSE(MONTH(B259), "01 (Jan)", "02 (Feb)", "03 (Mar)", "04 (Apr)", "05 (May)", "06 (Jun)", "07 (Jul)", "08 (Aug)", "09 (Sep)", "10 (Oct)", "11 (Nov)", "12 (Dec)"))</f>
        <v>2024 10 (Oct)</v>
      </c>
      <c r="B259" s="165">
        <v>45587</v>
      </c>
      <c r="C259" s="162" t="str">
        <f t="shared" si="50"/>
        <v>Tuesday</v>
      </c>
      <c r="D259" t="s">
        <v>260</v>
      </c>
      <c r="E259" s="2">
        <v>199</v>
      </c>
      <c r="F259" t="str">
        <f>VLOOKUP(G259,'Expenses Reference'!$A$1:$B$23,2, FALSE)</f>
        <v>Wants</v>
      </c>
      <c r="G259" t="s">
        <v>54</v>
      </c>
    </row>
    <row r="260" spans="1:9" x14ac:dyDescent="0.3">
      <c r="A260" s="107" t="str">
        <f t="shared" si="51"/>
        <v>2024 10 (Oct)</v>
      </c>
      <c r="B260" s="165">
        <v>45587</v>
      </c>
      <c r="C260" s="162" t="str">
        <f t="shared" ref="C260:C265" si="52">CHOOSE(WEEKDAY(B260),"Sunday","Monday","Tuesday","Wednesday","Thursday","Friday","Saturday")</f>
        <v>Tuesday</v>
      </c>
      <c r="D260" t="s">
        <v>66</v>
      </c>
      <c r="E260" s="2">
        <v>538.75</v>
      </c>
      <c r="F260" t="str">
        <f>VLOOKUP(G260,'Expenses Reference'!$A$1:$B$23,2, FALSE)</f>
        <v>Wants</v>
      </c>
      <c r="G260" t="s">
        <v>81</v>
      </c>
    </row>
    <row r="261" spans="1:9" x14ac:dyDescent="0.3">
      <c r="A261" s="107" t="str">
        <f t="shared" si="51"/>
        <v>2024 10 (Oct)</v>
      </c>
      <c r="B261" s="165">
        <v>45587</v>
      </c>
      <c r="C261" s="162" t="str">
        <f t="shared" si="52"/>
        <v>Tuesday</v>
      </c>
      <c r="D261" t="s">
        <v>261</v>
      </c>
      <c r="E261" s="2">
        <v>332</v>
      </c>
      <c r="F261" t="str">
        <f>VLOOKUP(G261,'Expenses Reference'!$A$1:$B$23,2, FALSE)</f>
        <v>Wants</v>
      </c>
      <c r="G261" t="s">
        <v>81</v>
      </c>
    </row>
    <row r="262" spans="1:9" x14ac:dyDescent="0.3">
      <c r="A262" s="107" t="str">
        <f t="shared" si="51"/>
        <v>2024 10 (Oct)</v>
      </c>
      <c r="B262" s="165">
        <v>45587</v>
      </c>
      <c r="C262" s="162" t="str">
        <f t="shared" si="52"/>
        <v>Tuesday</v>
      </c>
      <c r="D262" t="s">
        <v>263</v>
      </c>
      <c r="E262" s="2">
        <v>75</v>
      </c>
      <c r="F262" t="str">
        <f>VLOOKUP(G262,'Expenses Reference'!$A$1:$B$23,2, FALSE)</f>
        <v>Wants</v>
      </c>
      <c r="G262" t="s">
        <v>84</v>
      </c>
    </row>
    <row r="263" spans="1:9" x14ac:dyDescent="0.3">
      <c r="A263" s="107" t="str">
        <f t="shared" si="51"/>
        <v>2024 10 (Oct)</v>
      </c>
      <c r="B263" s="165">
        <v>45587</v>
      </c>
      <c r="C263" s="162" t="str">
        <f t="shared" si="52"/>
        <v>Tuesday</v>
      </c>
      <c r="D263" t="s">
        <v>110</v>
      </c>
      <c r="E263" s="2">
        <v>212.86</v>
      </c>
      <c r="F263" t="str">
        <f>VLOOKUP(G263,'Expenses Reference'!$A$1:$B$23,2, FALSE)</f>
        <v>Wants</v>
      </c>
      <c r="G263" t="s">
        <v>215</v>
      </c>
      <c r="I263" s="1" t="s">
        <v>262</v>
      </c>
    </row>
    <row r="264" spans="1:9" x14ac:dyDescent="0.3">
      <c r="A264" s="107" t="str">
        <f t="shared" si="51"/>
        <v>2024 10 (Oct)</v>
      </c>
      <c r="B264" s="165">
        <v>45587</v>
      </c>
      <c r="C264" s="162" t="str">
        <f t="shared" si="52"/>
        <v>Tuesday</v>
      </c>
      <c r="D264" t="s">
        <v>81</v>
      </c>
      <c r="E264" s="2">
        <v>120</v>
      </c>
      <c r="F264" t="str">
        <f>VLOOKUP(G264,'Expenses Reference'!$A$1:$B$23,2, FALSE)</f>
        <v>Wants</v>
      </c>
      <c r="G264" t="s">
        <v>81</v>
      </c>
    </row>
    <row r="265" spans="1:9" x14ac:dyDescent="0.3">
      <c r="A265" s="107" t="str">
        <f t="shared" si="51"/>
        <v>2024 10 (Oct)</v>
      </c>
      <c r="B265" s="165">
        <v>45587</v>
      </c>
      <c r="C265" s="162" t="str">
        <f t="shared" si="52"/>
        <v>Tuesday</v>
      </c>
      <c r="D265" t="s">
        <v>80</v>
      </c>
      <c r="E265" s="2">
        <v>100</v>
      </c>
      <c r="F265" t="str">
        <f>VLOOKUP(G265,'Expenses Reference'!$A$1:$B$23,2, FALSE)</f>
        <v>Wants</v>
      </c>
      <c r="G265" t="s">
        <v>84</v>
      </c>
    </row>
    <row r="266" spans="1:9" s="152" customFormat="1" x14ac:dyDescent="0.3">
      <c r="A266" s="167" t="str">
        <f t="shared" si="51"/>
        <v>2024 10 (Oct)</v>
      </c>
      <c r="B266" s="164">
        <v>45588</v>
      </c>
      <c r="C266" s="163" t="str">
        <f t="shared" ref="C266" si="53">CHOOSE(WEEKDAY(B266),"Sunday","Monday","Tuesday","Wednesday","Thursday","Friday","Saturday")</f>
        <v>Wednesday</v>
      </c>
      <c r="D266" s="152" t="s">
        <v>169</v>
      </c>
      <c r="E266" s="153">
        <v>97</v>
      </c>
      <c r="F266" s="152" t="str">
        <f>VLOOKUP(G266,'Expenses Reference'!$A$1:$B$23,2, FALSE)</f>
        <v>Needs</v>
      </c>
      <c r="G266" s="152" t="s">
        <v>213</v>
      </c>
      <c r="H266" s="154"/>
      <c r="I266" s="154"/>
    </row>
    <row r="267" spans="1:9" x14ac:dyDescent="0.3">
      <c r="A267" s="107" t="str">
        <f t="shared" si="51"/>
        <v>2024 10 (Oct)</v>
      </c>
      <c r="B267" s="165">
        <v>45589</v>
      </c>
      <c r="C267" s="162" t="str">
        <f t="shared" ref="C267" si="54">CHOOSE(WEEKDAY(B267),"Sunday","Monday","Tuesday","Wednesday","Thursday","Friday","Saturday")</f>
        <v>Thursday</v>
      </c>
      <c r="D267" t="s">
        <v>169</v>
      </c>
      <c r="E267" s="2">
        <v>87</v>
      </c>
      <c r="F267" t="str">
        <f>VLOOKUP(G267,'Expenses Reference'!$A$1:$B$23,2, FALSE)</f>
        <v>Needs</v>
      </c>
      <c r="G267" t="s">
        <v>213</v>
      </c>
    </row>
    <row r="268" spans="1:9" x14ac:dyDescent="0.3">
      <c r="A268" s="107" t="str">
        <f t="shared" si="51"/>
        <v>2024 10 (Oct)</v>
      </c>
      <c r="B268" s="165">
        <v>45589</v>
      </c>
      <c r="C268" s="162" t="str">
        <f t="shared" ref="C268:C270" si="55">CHOOSE(WEEKDAY(B268),"Sunday","Monday","Tuesday","Wednesday","Thursday","Friday","Saturday")</f>
        <v>Thursday</v>
      </c>
      <c r="D268" t="s">
        <v>81</v>
      </c>
      <c r="E268" s="2">
        <v>120</v>
      </c>
      <c r="F268" t="str">
        <f>VLOOKUP(G268,'Expenses Reference'!$A$1:$B$23,2, FALSE)</f>
        <v>Needs</v>
      </c>
      <c r="G268" t="s">
        <v>35</v>
      </c>
    </row>
    <row r="269" spans="1:9" x14ac:dyDescent="0.3">
      <c r="A269" s="107" t="str">
        <f t="shared" si="51"/>
        <v>2024 10 (Oct)</v>
      </c>
      <c r="B269" s="165">
        <v>45589</v>
      </c>
      <c r="C269" s="162" t="str">
        <f t="shared" si="55"/>
        <v>Thursday</v>
      </c>
      <c r="D269" t="s">
        <v>114</v>
      </c>
      <c r="E269" s="2">
        <v>682</v>
      </c>
      <c r="F269" t="str">
        <f>VLOOKUP(G269,'Expenses Reference'!$A$1:$B$23,2, FALSE)</f>
        <v>Wants</v>
      </c>
      <c r="G269" t="s">
        <v>81</v>
      </c>
    </row>
    <row r="270" spans="1:9" x14ac:dyDescent="0.3">
      <c r="A270" s="107" t="str">
        <f t="shared" si="51"/>
        <v>2024 10 (Oct)</v>
      </c>
      <c r="B270" s="165">
        <v>45589</v>
      </c>
      <c r="C270" s="162" t="str">
        <f t="shared" si="55"/>
        <v>Thursday</v>
      </c>
      <c r="D270" t="s">
        <v>80</v>
      </c>
      <c r="E270" s="2">
        <v>61</v>
      </c>
      <c r="F270" t="str">
        <f>VLOOKUP(G270,'Expenses Reference'!$A$1:$B$23,2, FALSE)</f>
        <v>Needs</v>
      </c>
      <c r="G270" t="s">
        <v>213</v>
      </c>
    </row>
    <row r="271" spans="1:9" s="152" customFormat="1" x14ac:dyDescent="0.3">
      <c r="A271" s="167" t="str">
        <f t="shared" si="51"/>
        <v>2024 10 (Oct)</v>
      </c>
      <c r="B271" s="164">
        <v>45590</v>
      </c>
      <c r="C271" s="163" t="str">
        <f t="shared" ref="C271" si="56">CHOOSE(WEEKDAY(B271),"Sunday","Monday","Tuesday","Wednesday","Thursday","Friday","Saturday")</f>
        <v>Friday</v>
      </c>
      <c r="D271" s="152" t="s">
        <v>68</v>
      </c>
      <c r="E271" s="153">
        <v>73</v>
      </c>
      <c r="F271" s="152" t="str">
        <f>VLOOKUP(G271,'Expenses Reference'!$A$1:$B$23,2, FALSE)</f>
        <v>Needs</v>
      </c>
      <c r="G271" s="152" t="s">
        <v>213</v>
      </c>
      <c r="H271" s="154"/>
      <c r="I271" s="154"/>
    </row>
    <row r="272" spans="1:9" s="152" customFormat="1" x14ac:dyDescent="0.3">
      <c r="A272" s="167" t="str">
        <f t="shared" si="51"/>
        <v>2024 10 (Oct)</v>
      </c>
      <c r="B272" s="164">
        <v>45590</v>
      </c>
      <c r="C272" s="163" t="str">
        <f t="shared" ref="C272:C277" si="57">CHOOSE(WEEKDAY(B272),"Sunday","Monday","Tuesday","Wednesday","Thursday","Friday","Saturday")</f>
        <v>Friday</v>
      </c>
      <c r="D272" s="152" t="s">
        <v>264</v>
      </c>
      <c r="E272" s="153">
        <f>165+25</f>
        <v>190</v>
      </c>
      <c r="F272" s="152" t="str">
        <f>VLOOKUP(G272,'Expenses Reference'!$A$1:$B$23,2, FALSE)</f>
        <v>Needs</v>
      </c>
      <c r="G272" s="152" t="s">
        <v>35</v>
      </c>
      <c r="H272" s="154"/>
      <c r="I272" s="154"/>
    </row>
    <row r="273" spans="1:9" s="152" customFormat="1" x14ac:dyDescent="0.3">
      <c r="A273" s="167" t="str">
        <f t="shared" si="51"/>
        <v>2024 10 (Oct)</v>
      </c>
      <c r="B273" s="164">
        <v>45590</v>
      </c>
      <c r="C273" s="163" t="str">
        <f t="shared" si="57"/>
        <v>Friday</v>
      </c>
      <c r="D273" s="152" t="s">
        <v>265</v>
      </c>
      <c r="E273" s="153">
        <f>35+60</f>
        <v>95</v>
      </c>
      <c r="F273" s="152" t="str">
        <f>VLOOKUP(G273,'Expenses Reference'!$A$1:$B$23,2, FALSE)</f>
        <v>Needs</v>
      </c>
      <c r="G273" s="152" t="s">
        <v>35</v>
      </c>
      <c r="H273" s="154"/>
      <c r="I273" s="154"/>
    </row>
    <row r="274" spans="1:9" s="152" customFormat="1" x14ac:dyDescent="0.3">
      <c r="A274" s="167" t="str">
        <f t="shared" si="51"/>
        <v>2024 10 (Oct)</v>
      </c>
      <c r="B274" s="164">
        <v>45590</v>
      </c>
      <c r="C274" s="163" t="str">
        <f t="shared" si="57"/>
        <v>Friday</v>
      </c>
      <c r="D274" s="152" t="s">
        <v>266</v>
      </c>
      <c r="E274" s="153">
        <f>100/4</f>
        <v>25</v>
      </c>
      <c r="F274" s="152" t="str">
        <f>VLOOKUP(G274,'Expenses Reference'!$A$1:$B$23,2, FALSE)</f>
        <v>Wants</v>
      </c>
      <c r="G274" s="152" t="s">
        <v>84</v>
      </c>
      <c r="H274" s="154"/>
      <c r="I274" s="154"/>
    </row>
    <row r="275" spans="1:9" s="152" customFormat="1" x14ac:dyDescent="0.3">
      <c r="A275" s="167" t="str">
        <f t="shared" si="51"/>
        <v>2024 10 (Oct)</v>
      </c>
      <c r="B275" s="164">
        <v>45590</v>
      </c>
      <c r="C275" s="163" t="str">
        <f t="shared" si="57"/>
        <v>Friday</v>
      </c>
      <c r="D275" s="152" t="s">
        <v>267</v>
      </c>
      <c r="E275" s="153">
        <v>400</v>
      </c>
      <c r="F275" s="152" t="str">
        <f>VLOOKUP(G275,'Expenses Reference'!$A$1:$B$23,2, FALSE)</f>
        <v>Wants</v>
      </c>
      <c r="G275" s="152" t="s">
        <v>215</v>
      </c>
      <c r="H275" s="154"/>
      <c r="I275" s="154"/>
    </row>
    <row r="276" spans="1:9" s="152" customFormat="1" x14ac:dyDescent="0.3">
      <c r="A276" s="167" t="str">
        <f t="shared" si="51"/>
        <v>2024 10 (Oct)</v>
      </c>
      <c r="B276" s="164">
        <v>45590</v>
      </c>
      <c r="C276" s="163" t="str">
        <f t="shared" si="57"/>
        <v>Friday</v>
      </c>
      <c r="D276" s="152" t="s">
        <v>268</v>
      </c>
      <c r="E276" s="153">
        <v>372</v>
      </c>
      <c r="F276" s="152" t="str">
        <f>VLOOKUP(G276,'Expenses Reference'!$A$1:$B$23,2, FALSE)</f>
        <v>Wants</v>
      </c>
      <c r="G276" s="152" t="s">
        <v>81</v>
      </c>
      <c r="H276" s="154"/>
      <c r="I276" s="154"/>
    </row>
    <row r="277" spans="1:9" s="152" customFormat="1" x14ac:dyDescent="0.3">
      <c r="A277" s="167" t="str">
        <f t="shared" si="51"/>
        <v>2024 10 (Oct)</v>
      </c>
      <c r="B277" s="164">
        <v>45590</v>
      </c>
      <c r="C277" s="163" t="str">
        <f t="shared" si="57"/>
        <v>Friday</v>
      </c>
      <c r="D277" s="152" t="s">
        <v>269</v>
      </c>
      <c r="E277" s="153">
        <f>123/4</f>
        <v>30.75</v>
      </c>
      <c r="F277" s="152" t="str">
        <f>VLOOKUP(G277,'Expenses Reference'!$A$1:$B$23,2, FALSE)</f>
        <v>Wants</v>
      </c>
      <c r="G277" s="152" t="s">
        <v>84</v>
      </c>
      <c r="H277" s="154"/>
      <c r="I277" s="154"/>
    </row>
    <row r="278" spans="1:9" x14ac:dyDescent="0.3">
      <c r="A278" s="107" t="str">
        <f t="shared" si="51"/>
        <v>2024 10 (Oct)</v>
      </c>
      <c r="B278" s="165">
        <v>45591</v>
      </c>
      <c r="C278" s="162" t="str">
        <f t="shared" ref="C278" si="58">CHOOSE(WEEKDAY(B278),"Sunday","Monday","Tuesday","Wednesday","Thursday","Friday","Saturday")</f>
        <v>Saturday</v>
      </c>
      <c r="D278" t="s">
        <v>270</v>
      </c>
      <c r="E278" s="2">
        <v>6993.5</v>
      </c>
      <c r="F278" t="str">
        <f>VLOOKUP(G278,'Expenses Reference'!$A$1:$B$23,2, FALSE)</f>
        <v>Wants</v>
      </c>
      <c r="G278" t="s">
        <v>188</v>
      </c>
    </row>
    <row r="279" spans="1:9" x14ac:dyDescent="0.3">
      <c r="A279" s="107" t="str">
        <f t="shared" si="51"/>
        <v>2024 10 (Oct)</v>
      </c>
      <c r="B279" s="165">
        <v>45591</v>
      </c>
      <c r="C279" s="162" t="str">
        <f t="shared" ref="C279:C280" si="59">CHOOSE(WEEKDAY(B279),"Sunday","Monday","Tuesday","Wednesday","Thursday","Friday","Saturday")</f>
        <v>Saturday</v>
      </c>
      <c r="D279" t="s">
        <v>271</v>
      </c>
      <c r="E279" s="2">
        <v>5597.5</v>
      </c>
      <c r="F279" t="str">
        <f>VLOOKUP(G279,'Expenses Reference'!$A$1:$B$23,2, FALSE)</f>
        <v>Wants</v>
      </c>
      <c r="G279" t="s">
        <v>83</v>
      </c>
    </row>
    <row r="280" spans="1:9" x14ac:dyDescent="0.3">
      <c r="A280" s="107" t="str">
        <f t="shared" si="51"/>
        <v>2024 10 (Oct)</v>
      </c>
      <c r="B280" s="165">
        <v>45591</v>
      </c>
      <c r="C280" s="162" t="str">
        <f t="shared" si="59"/>
        <v>Saturday</v>
      </c>
      <c r="D280" t="s">
        <v>273</v>
      </c>
      <c r="E280" s="2">
        <v>294</v>
      </c>
      <c r="F280" t="str">
        <f>VLOOKUP(G280,'Expenses Reference'!$A$1:$B$23,2, FALSE)</f>
        <v>Wants</v>
      </c>
      <c r="G280" t="s">
        <v>81</v>
      </c>
    </row>
    <row r="281" spans="1:9" x14ac:dyDescent="0.3">
      <c r="A281" s="107" t="str">
        <f t="shared" si="51"/>
        <v>2024 10 (Oct)</v>
      </c>
      <c r="B281" s="165">
        <v>45591</v>
      </c>
      <c r="C281" s="162" t="str">
        <f t="shared" ref="C281" si="60">CHOOSE(WEEKDAY(B281),"Sunday","Monday","Tuesday","Wednesday","Thursday","Friday","Saturday")</f>
        <v>Saturday</v>
      </c>
      <c r="D281" t="s">
        <v>66</v>
      </c>
      <c r="E281" s="2">
        <v>380</v>
      </c>
      <c r="F281" t="str">
        <f>VLOOKUP(G281,'Expenses Reference'!$A$1:$B$23,2, FALSE)</f>
        <v>Needs</v>
      </c>
      <c r="G281" t="s">
        <v>34</v>
      </c>
    </row>
    <row r="282" spans="1:9" x14ac:dyDescent="0.3">
      <c r="A282" s="107" t="str">
        <f t="shared" si="51"/>
        <v>2024 10 (Oct)</v>
      </c>
      <c r="B282" s="165">
        <v>45591</v>
      </c>
      <c r="C282" s="162" t="str">
        <f t="shared" ref="C282:C287" si="61">CHOOSE(WEEKDAY(B282),"Sunday","Monday","Tuesday","Wednesday","Thursday","Friday","Saturday")</f>
        <v>Saturday</v>
      </c>
      <c r="D282" t="s">
        <v>276</v>
      </c>
      <c r="E282" s="2">
        <v>58</v>
      </c>
      <c r="F282" t="str">
        <f>VLOOKUP(G282,'Expenses Reference'!$A$1:$B$23,2, FALSE)</f>
        <v>Wants</v>
      </c>
      <c r="G282" t="s">
        <v>84</v>
      </c>
    </row>
    <row r="283" spans="1:9" x14ac:dyDescent="0.3">
      <c r="A283" s="107" t="str">
        <f t="shared" si="51"/>
        <v>2024 10 (Oct)</v>
      </c>
      <c r="B283" s="165">
        <v>45591</v>
      </c>
      <c r="C283" s="162" t="str">
        <f t="shared" si="61"/>
        <v>Saturday</v>
      </c>
      <c r="D283" t="s">
        <v>272</v>
      </c>
      <c r="E283" s="2">
        <v>8000</v>
      </c>
      <c r="F283" t="str">
        <f>VLOOKUP(G283,'Expenses Reference'!$A$1:$B$23,2, FALSE)</f>
        <v>Wants</v>
      </c>
      <c r="G283" t="s">
        <v>188</v>
      </c>
    </row>
    <row r="284" spans="1:9" x14ac:dyDescent="0.3">
      <c r="A284" s="107" t="str">
        <f t="shared" si="51"/>
        <v>2024 10 (Oct)</v>
      </c>
      <c r="B284" s="165">
        <v>45591</v>
      </c>
      <c r="C284" s="162" t="str">
        <f t="shared" si="61"/>
        <v>Saturday</v>
      </c>
      <c r="D284" t="s">
        <v>275</v>
      </c>
      <c r="E284" s="2">
        <f>244+30</f>
        <v>274</v>
      </c>
      <c r="F284" t="str">
        <f>VLOOKUP(G284,'Expenses Reference'!$A$1:$B$23,2, FALSE)</f>
        <v>Wants</v>
      </c>
      <c r="G284" t="s">
        <v>81</v>
      </c>
      <c r="I284" s="1" t="s">
        <v>274</v>
      </c>
    </row>
    <row r="285" spans="1:9" x14ac:dyDescent="0.3">
      <c r="A285" s="107" t="str">
        <f t="shared" si="51"/>
        <v>2024 10 (Oct)</v>
      </c>
      <c r="B285" s="165">
        <v>45591</v>
      </c>
      <c r="C285" s="162" t="str">
        <f t="shared" ref="C285:C286" si="62">CHOOSE(WEEKDAY(B285),"Sunday","Monday","Tuesday","Wednesday","Thursday","Friday","Saturday")</f>
        <v>Saturday</v>
      </c>
      <c r="D285" t="s">
        <v>80</v>
      </c>
      <c r="E285" s="2">
        <v>48</v>
      </c>
      <c r="F285" t="str">
        <f>VLOOKUP(G285,'Expenses Reference'!$A$1:$B$23,2, FALSE)</f>
        <v>Wants</v>
      </c>
      <c r="G285" t="s">
        <v>84</v>
      </c>
    </row>
    <row r="286" spans="1:9" x14ac:dyDescent="0.3">
      <c r="A286" s="107" t="str">
        <f t="shared" si="51"/>
        <v>2024 10 (Oct)</v>
      </c>
      <c r="B286" s="165">
        <v>45591</v>
      </c>
      <c r="C286" s="162" t="str">
        <f t="shared" si="62"/>
        <v>Saturday</v>
      </c>
      <c r="D286" t="s">
        <v>277</v>
      </c>
      <c r="E286" s="2">
        <v>529.91999999999996</v>
      </c>
      <c r="F286" t="str">
        <f>VLOOKUP(G286,'Expenses Reference'!$A$1:$B$23,2, FALSE)</f>
        <v>Wants</v>
      </c>
      <c r="G286" t="s">
        <v>84</v>
      </c>
    </row>
    <row r="287" spans="1:9" x14ac:dyDescent="0.3">
      <c r="A287" s="107" t="str">
        <f t="shared" si="51"/>
        <v>2024 10 (Oct)</v>
      </c>
      <c r="B287" s="165">
        <v>45591</v>
      </c>
      <c r="C287" s="162" t="str">
        <f t="shared" si="61"/>
        <v>Saturday</v>
      </c>
      <c r="D287" t="s">
        <v>278</v>
      </c>
      <c r="E287" s="2">
        <v>699</v>
      </c>
      <c r="F287" t="str">
        <f>VLOOKUP(G287,'Expenses Reference'!$A$1:$B$23,2, FALSE)</f>
        <v>Needs</v>
      </c>
      <c r="G287" t="s">
        <v>146</v>
      </c>
    </row>
    <row r="288" spans="1:9" s="152" customFormat="1" x14ac:dyDescent="0.3">
      <c r="A288" s="167" t="str">
        <f t="shared" si="51"/>
        <v>2024 10 (Oct)</v>
      </c>
      <c r="B288" s="164">
        <v>45592</v>
      </c>
      <c r="C288" s="163" t="str">
        <f t="shared" ref="C288" si="63">CHOOSE(WEEKDAY(B288),"Sunday","Monday","Tuesday","Wednesday","Thursday","Friday","Saturday")</f>
        <v>Sunday</v>
      </c>
      <c r="D288" s="152" t="s">
        <v>211</v>
      </c>
      <c r="E288" s="153">
        <v>595</v>
      </c>
      <c r="F288" s="152" t="str">
        <f>VLOOKUP(G288,'Expenses Reference'!$A$1:$B$23,2, FALSE)</f>
        <v>Wants</v>
      </c>
      <c r="G288" s="152" t="s">
        <v>81</v>
      </c>
      <c r="H288" s="154"/>
      <c r="I288" s="154"/>
    </row>
    <row r="289" spans="1:9" s="152" customFormat="1" x14ac:dyDescent="0.3">
      <c r="A289" s="167" t="str">
        <f t="shared" si="51"/>
        <v>2024 10 (Oct)</v>
      </c>
      <c r="B289" s="164">
        <v>45592</v>
      </c>
      <c r="C289" s="163" t="str">
        <f t="shared" ref="C289" si="64">CHOOSE(WEEKDAY(B289),"Sunday","Monday","Tuesday","Wednesday","Thursday","Friday","Saturday")</f>
        <v>Sunday</v>
      </c>
      <c r="D289" s="152" t="s">
        <v>279</v>
      </c>
      <c r="E289" s="153">
        <f>665.88-300</f>
        <v>365.88</v>
      </c>
      <c r="F289" s="152" t="str">
        <f>VLOOKUP(G289,'Expenses Reference'!$A$1:$B$23,2, FALSE)</f>
        <v>Wants</v>
      </c>
      <c r="G289" s="152" t="s">
        <v>81</v>
      </c>
      <c r="H289" s="154"/>
      <c r="I289" s="154"/>
    </row>
    <row r="290" spans="1:9" s="152" customFormat="1" x14ac:dyDescent="0.3">
      <c r="A290" s="167" t="str">
        <f t="shared" si="51"/>
        <v>2024 10 (Oct)</v>
      </c>
      <c r="B290" s="164">
        <v>45592</v>
      </c>
      <c r="C290" s="163" t="str">
        <f t="shared" ref="C290:C291" si="65">CHOOSE(WEEKDAY(B290),"Sunday","Monday","Tuesday","Wednesday","Thursday","Friday","Saturday")</f>
        <v>Sunday</v>
      </c>
      <c r="D290" s="152" t="s">
        <v>280</v>
      </c>
      <c r="E290" s="153">
        <v>300</v>
      </c>
      <c r="F290" s="152" t="str">
        <f>VLOOKUP(G290,'Expenses Reference'!$A$1:$B$23,2, FALSE)</f>
        <v>Wants</v>
      </c>
      <c r="G290" s="152" t="s">
        <v>83</v>
      </c>
      <c r="H290" s="154"/>
      <c r="I290" s="154"/>
    </row>
    <row r="291" spans="1:9" x14ac:dyDescent="0.3">
      <c r="A291" s="107" t="str">
        <f t="shared" si="51"/>
        <v>2024 10 (Oct)</v>
      </c>
      <c r="B291" s="165">
        <v>45593</v>
      </c>
      <c r="C291" s="162" t="str">
        <f t="shared" si="65"/>
        <v>Monday</v>
      </c>
      <c r="D291" t="s">
        <v>211</v>
      </c>
      <c r="E291" s="2">
        <v>704</v>
      </c>
      <c r="F291" t="str">
        <f>VLOOKUP(G291,'Expenses Reference'!$A$1:$B$23,2, FALSE)</f>
        <v>Wants</v>
      </c>
      <c r="G291" t="s">
        <v>81</v>
      </c>
    </row>
    <row r="292" spans="1:9" x14ac:dyDescent="0.3">
      <c r="A292" s="107" t="str">
        <f t="shared" si="51"/>
        <v>2024 10 (Oct)</v>
      </c>
      <c r="B292" s="165">
        <v>45593</v>
      </c>
      <c r="C292" s="162" t="str">
        <f t="shared" ref="C292" si="66">CHOOSE(WEEKDAY(B292),"Sunday","Monday","Tuesday","Wednesday","Thursday","Friday","Saturday")</f>
        <v>Monday</v>
      </c>
      <c r="D292" t="s">
        <v>281</v>
      </c>
      <c r="E292" s="2">
        <v>59</v>
      </c>
      <c r="F292" t="str">
        <f>VLOOKUP(G292,'Expenses Reference'!$A$1:$B$23,2, FALSE)</f>
        <v>Needs</v>
      </c>
      <c r="G292" t="s">
        <v>213</v>
      </c>
    </row>
    <row r="293" spans="1:9" x14ac:dyDescent="0.3">
      <c r="A293" s="107" t="str">
        <f t="shared" si="51"/>
        <v>2024 10 (Oct)</v>
      </c>
      <c r="B293" s="165">
        <v>45593</v>
      </c>
      <c r="C293" s="162" t="str">
        <f t="shared" ref="C293:C294" si="67">CHOOSE(WEEKDAY(B293),"Sunday","Monday","Tuesday","Wednesday","Thursday","Friday","Saturday")</f>
        <v>Monday</v>
      </c>
      <c r="D293" t="s">
        <v>282</v>
      </c>
      <c r="E293" s="2">
        <v>70</v>
      </c>
      <c r="F293" t="str">
        <f>VLOOKUP(G293,'Expenses Reference'!$A$1:$B$23,2, FALSE)</f>
        <v>Needs</v>
      </c>
      <c r="G293" t="s">
        <v>35</v>
      </c>
      <c r="I293" s="1" t="s">
        <v>283</v>
      </c>
    </row>
    <row r="294" spans="1:9" s="152" customFormat="1" x14ac:dyDescent="0.3">
      <c r="A294" s="167" t="str">
        <f t="shared" si="51"/>
        <v>2024 10 (Oct)</v>
      </c>
      <c r="B294" s="164">
        <v>45594</v>
      </c>
      <c r="C294" s="163" t="str">
        <f t="shared" si="67"/>
        <v>Tuesday</v>
      </c>
      <c r="D294" s="152" t="s">
        <v>287</v>
      </c>
      <c r="E294" s="153">
        <v>353.69</v>
      </c>
      <c r="F294" s="152" t="str">
        <f>VLOOKUP(G294,'Expenses Reference'!$A$1:$B$23,2, FALSE)</f>
        <v>Wants</v>
      </c>
      <c r="G294" s="152" t="s">
        <v>188</v>
      </c>
      <c r="H294" s="154" t="s">
        <v>474</v>
      </c>
      <c r="I294" s="154"/>
    </row>
    <row r="295" spans="1:9" s="152" customFormat="1" x14ac:dyDescent="0.3">
      <c r="A295" s="167" t="str">
        <f t="shared" si="51"/>
        <v>2024 10 (Oct)</v>
      </c>
      <c r="B295" s="164">
        <v>45594</v>
      </c>
      <c r="C295" s="163" t="str">
        <f t="shared" ref="C295:C302" si="68">CHOOSE(WEEKDAY(B295),"Sunday","Monday","Tuesday","Wednesday","Thursday","Friday","Saturday")</f>
        <v>Tuesday</v>
      </c>
      <c r="D295" s="152" t="s">
        <v>284</v>
      </c>
      <c r="E295" s="153">
        <v>231</v>
      </c>
      <c r="F295" s="152" t="str">
        <f>VLOOKUP(G295,'Expenses Reference'!$A$1:$B$23,2, FALSE)</f>
        <v>Wants</v>
      </c>
      <c r="G295" s="152" t="s">
        <v>188</v>
      </c>
      <c r="H295" s="154" t="s">
        <v>474</v>
      </c>
      <c r="I295" s="154"/>
    </row>
    <row r="296" spans="1:9" s="152" customFormat="1" x14ac:dyDescent="0.3">
      <c r="A296" s="167" t="str">
        <f t="shared" si="51"/>
        <v>2024 10 (Oct)</v>
      </c>
      <c r="B296" s="164">
        <v>45594</v>
      </c>
      <c r="C296" s="163" t="str">
        <f t="shared" si="68"/>
        <v>Tuesday</v>
      </c>
      <c r="D296" s="152" t="s">
        <v>285</v>
      </c>
      <c r="E296" s="153">
        <v>1400</v>
      </c>
      <c r="F296" s="152" t="str">
        <f>VLOOKUP(G296,'Expenses Reference'!$A$1:$B$23,2, FALSE)</f>
        <v>Wants</v>
      </c>
      <c r="G296" s="152" t="s">
        <v>188</v>
      </c>
      <c r="H296" s="154" t="s">
        <v>474</v>
      </c>
      <c r="I296" s="154"/>
    </row>
    <row r="297" spans="1:9" s="152" customFormat="1" x14ac:dyDescent="0.3">
      <c r="A297" s="167" t="str">
        <f t="shared" si="51"/>
        <v>2024 10 (Oct)</v>
      </c>
      <c r="B297" s="164">
        <v>45594</v>
      </c>
      <c r="C297" s="163" t="str">
        <f t="shared" si="68"/>
        <v>Tuesday</v>
      </c>
      <c r="D297" s="152" t="s">
        <v>160</v>
      </c>
      <c r="E297" s="153">
        <v>2000</v>
      </c>
      <c r="F297" s="152" t="str">
        <f>VLOOKUP(G297,'Expenses Reference'!$A$1:$B$23,2, FALSE)</f>
        <v>Wants</v>
      </c>
      <c r="G297" s="152" t="s">
        <v>288</v>
      </c>
      <c r="H297" s="154"/>
      <c r="I297" s="154" t="s">
        <v>289</v>
      </c>
    </row>
    <row r="298" spans="1:9" s="152" customFormat="1" x14ac:dyDescent="0.3">
      <c r="A298" s="167" t="str">
        <f t="shared" si="51"/>
        <v>2024 10 (Oct)</v>
      </c>
      <c r="B298" s="164">
        <v>45594</v>
      </c>
      <c r="C298" s="163" t="str">
        <f t="shared" si="68"/>
        <v>Tuesday</v>
      </c>
      <c r="D298" s="152" t="s">
        <v>211</v>
      </c>
      <c r="E298" s="153">
        <v>550</v>
      </c>
      <c r="F298" s="152" t="str">
        <f>VLOOKUP(G298,'Expenses Reference'!$A$1:$B$23,2, FALSE)</f>
        <v>Wants</v>
      </c>
      <c r="G298" s="152" t="s">
        <v>81</v>
      </c>
      <c r="H298" s="154"/>
      <c r="I298" s="154"/>
    </row>
    <row r="299" spans="1:9" s="152" customFormat="1" x14ac:dyDescent="0.3">
      <c r="A299" s="167" t="str">
        <f t="shared" si="51"/>
        <v>2024 10 (Oct)</v>
      </c>
      <c r="B299" s="164">
        <v>45594</v>
      </c>
      <c r="C299" s="163" t="str">
        <f t="shared" ref="C299" si="69">CHOOSE(WEEKDAY(B299),"Sunday","Monday","Tuesday","Wednesday","Thursday","Friday","Saturday")</f>
        <v>Tuesday</v>
      </c>
      <c r="D299" s="152" t="s">
        <v>286</v>
      </c>
      <c r="E299" s="153">
        <v>250</v>
      </c>
      <c r="F299" s="152" t="str">
        <f>VLOOKUP(G299,'Expenses Reference'!$A$1:$B$23,2, FALSE)</f>
        <v>Wants</v>
      </c>
      <c r="G299" s="152" t="s">
        <v>84</v>
      </c>
      <c r="H299" s="154" t="s">
        <v>474</v>
      </c>
      <c r="I299" s="154"/>
    </row>
    <row r="300" spans="1:9" s="152" customFormat="1" x14ac:dyDescent="0.3">
      <c r="A300" s="167" t="str">
        <f t="shared" si="51"/>
        <v>2024 10 (Oct)</v>
      </c>
      <c r="B300" s="164">
        <v>45594</v>
      </c>
      <c r="C300" s="163" t="str">
        <f t="shared" si="68"/>
        <v>Tuesday</v>
      </c>
      <c r="D300" s="152" t="s">
        <v>69</v>
      </c>
      <c r="E300" s="153">
        <v>349</v>
      </c>
      <c r="F300" s="152" t="str">
        <f>VLOOKUP(G300,'Expenses Reference'!$A$1:$B$23,2, FALSE)</f>
        <v>Needs</v>
      </c>
      <c r="G300" s="152" t="s">
        <v>82</v>
      </c>
      <c r="H300" s="154"/>
      <c r="I300" s="154"/>
    </row>
    <row r="301" spans="1:9" x14ac:dyDescent="0.3">
      <c r="A301" s="107" t="str">
        <f t="shared" si="51"/>
        <v>2024 10 (Oct)</v>
      </c>
      <c r="B301" s="165">
        <v>45595</v>
      </c>
      <c r="C301" s="162" t="str">
        <f t="shared" si="68"/>
        <v>Wednesday</v>
      </c>
      <c r="D301" t="s">
        <v>290</v>
      </c>
      <c r="E301" s="2">
        <v>145</v>
      </c>
      <c r="F301" t="str">
        <f>VLOOKUP(G301,'Expenses Reference'!$A$1:$B$23,2, FALSE)</f>
        <v>Wants</v>
      </c>
      <c r="G301" t="s">
        <v>84</v>
      </c>
      <c r="H301" s="1" t="s">
        <v>474</v>
      </c>
    </row>
    <row r="302" spans="1:9" x14ac:dyDescent="0.3">
      <c r="A302" s="107" t="str">
        <f t="shared" si="51"/>
        <v>2024 10 (Oct)</v>
      </c>
      <c r="B302" s="165">
        <v>45595</v>
      </c>
      <c r="C302" s="162" t="str">
        <f t="shared" si="68"/>
        <v>Wednesday</v>
      </c>
      <c r="D302" t="s">
        <v>292</v>
      </c>
      <c r="E302" s="2">
        <f>3598/2</f>
        <v>1799</v>
      </c>
      <c r="F302" t="str">
        <f>VLOOKUP(G302,'Expenses Reference'!$A$1:$B$23,2, FALSE)</f>
        <v>Wants</v>
      </c>
      <c r="G302" t="s">
        <v>188</v>
      </c>
      <c r="H302" s="1" t="s">
        <v>474</v>
      </c>
    </row>
    <row r="303" spans="1:9" x14ac:dyDescent="0.3">
      <c r="A303" s="107" t="str">
        <f t="shared" si="51"/>
        <v>2024 10 (Oct)</v>
      </c>
      <c r="B303" s="165">
        <v>45595</v>
      </c>
      <c r="C303" s="162" t="str">
        <f t="shared" ref="C303:C308" si="70">CHOOSE(WEEKDAY(B303),"Sunday","Monday","Tuesday","Wednesday","Thursday","Friday","Saturday")</f>
        <v>Wednesday</v>
      </c>
      <c r="D303" t="s">
        <v>293</v>
      </c>
      <c r="E303" s="2">
        <f>3598/2</f>
        <v>1799</v>
      </c>
      <c r="F303" t="str">
        <f>VLOOKUP(G303,'Expenses Reference'!$A$1:$B$23,2, FALSE)</f>
        <v>Wants</v>
      </c>
      <c r="G303" t="s">
        <v>185</v>
      </c>
    </row>
    <row r="304" spans="1:9" x14ac:dyDescent="0.3">
      <c r="A304" s="107" t="str">
        <f t="shared" si="51"/>
        <v>2024 10 (Oct)</v>
      </c>
      <c r="B304" s="165">
        <v>45595</v>
      </c>
      <c r="C304" s="162" t="str">
        <f t="shared" si="70"/>
        <v>Wednesday</v>
      </c>
      <c r="D304" t="s">
        <v>300</v>
      </c>
      <c r="E304" s="2">
        <v>3880</v>
      </c>
      <c r="F304" t="str">
        <f>VLOOKUP(G304,'Expenses Reference'!$A$1:$B$23,2, FALSE)</f>
        <v>Wants</v>
      </c>
      <c r="G304" t="s">
        <v>185</v>
      </c>
    </row>
    <row r="305" spans="1:9" x14ac:dyDescent="0.3">
      <c r="A305" s="107" t="str">
        <f t="shared" si="51"/>
        <v>2024 10 (Oct)</v>
      </c>
      <c r="B305" s="165">
        <v>45595</v>
      </c>
      <c r="C305" s="162" t="str">
        <f t="shared" si="70"/>
        <v>Wednesday</v>
      </c>
      <c r="D305" t="s">
        <v>294</v>
      </c>
      <c r="E305" s="2">
        <v>799</v>
      </c>
      <c r="F305" t="str">
        <f>VLOOKUP(G305,'Expenses Reference'!$A$1:$B$23,2, FALSE)</f>
        <v>Wants</v>
      </c>
      <c r="G305" t="s">
        <v>185</v>
      </c>
    </row>
    <row r="306" spans="1:9" x14ac:dyDescent="0.3">
      <c r="A306" s="107" t="str">
        <f t="shared" si="51"/>
        <v>2024 10 (Oct)</v>
      </c>
      <c r="B306" s="165">
        <v>45595</v>
      </c>
      <c r="C306" s="162" t="str">
        <f t="shared" si="70"/>
        <v>Wednesday</v>
      </c>
      <c r="D306" t="s">
        <v>295</v>
      </c>
      <c r="E306" s="2">
        <f>1261-799</f>
        <v>462</v>
      </c>
      <c r="F306" t="str">
        <f>VLOOKUP(G306,'Expenses Reference'!$A$1:$B$23,2, FALSE)</f>
        <v>Wants</v>
      </c>
      <c r="G306" t="s">
        <v>288</v>
      </c>
      <c r="H306" s="1" t="s">
        <v>474</v>
      </c>
    </row>
    <row r="307" spans="1:9" x14ac:dyDescent="0.3">
      <c r="A307" s="107" t="str">
        <f t="shared" si="51"/>
        <v>2024 10 (Oct)</v>
      </c>
      <c r="B307" s="165">
        <v>45595</v>
      </c>
      <c r="C307" s="162" t="str">
        <f t="shared" si="70"/>
        <v>Wednesday</v>
      </c>
      <c r="D307" t="s">
        <v>296</v>
      </c>
      <c r="E307" s="2">
        <v>673</v>
      </c>
      <c r="F307" t="str">
        <f>VLOOKUP(G307,'Expenses Reference'!$A$1:$B$23,2, FALSE)</f>
        <v>Wants</v>
      </c>
      <c r="G307" t="s">
        <v>288</v>
      </c>
      <c r="H307" s="1" t="s">
        <v>474</v>
      </c>
    </row>
    <row r="308" spans="1:9" x14ac:dyDescent="0.3">
      <c r="A308" s="107" t="str">
        <f t="shared" si="51"/>
        <v>2024 10 (Oct)</v>
      </c>
      <c r="B308" s="165">
        <v>45595</v>
      </c>
      <c r="C308" s="162" t="str">
        <f t="shared" si="70"/>
        <v>Wednesday</v>
      </c>
      <c r="D308" t="s">
        <v>81</v>
      </c>
      <c r="E308" s="2">
        <v>880.97</v>
      </c>
      <c r="F308" t="str">
        <f>VLOOKUP(G308,'Expenses Reference'!$A$1:$B$23,2, FALSE)</f>
        <v>Wants</v>
      </c>
      <c r="G308" t="s">
        <v>81</v>
      </c>
      <c r="H308" s="1" t="s">
        <v>474</v>
      </c>
      <c r="I308" s="1" t="s">
        <v>301</v>
      </c>
    </row>
    <row r="309" spans="1:9" x14ac:dyDescent="0.3">
      <c r="A309" s="107" t="str">
        <f t="shared" si="51"/>
        <v>2024 10 (Oct)</v>
      </c>
      <c r="B309" s="165">
        <v>45595</v>
      </c>
      <c r="C309" s="162" t="str">
        <f t="shared" ref="C309:C313" si="71">CHOOSE(WEEKDAY(B309),"Sunday","Monday","Tuesday","Wednesday","Thursday","Friday","Saturday")</f>
        <v>Wednesday</v>
      </c>
      <c r="D309" t="s">
        <v>297</v>
      </c>
      <c r="E309" s="2">
        <v>899</v>
      </c>
      <c r="F309" t="str">
        <f>VLOOKUP(G309,'Expenses Reference'!$A$1:$B$23,2, FALSE)</f>
        <v>Wants</v>
      </c>
      <c r="G309" t="s">
        <v>288</v>
      </c>
      <c r="H309" s="1" t="s">
        <v>474</v>
      </c>
    </row>
    <row r="310" spans="1:9" x14ac:dyDescent="0.3">
      <c r="A310" s="107" t="str">
        <f t="shared" si="51"/>
        <v>2024 10 (Oct)</v>
      </c>
      <c r="B310" s="165">
        <v>45595</v>
      </c>
      <c r="C310" s="162" t="str">
        <f t="shared" ref="C310:C311" si="72">CHOOSE(WEEKDAY(B310),"Sunday","Monday","Tuesday","Wednesday","Thursday","Friday","Saturday")</f>
        <v>Wednesday</v>
      </c>
      <c r="D310" t="s">
        <v>298</v>
      </c>
      <c r="E310" s="2">
        <v>180</v>
      </c>
      <c r="F310" t="str">
        <f>VLOOKUP(G310,'Expenses Reference'!$A$1:$B$23,2, FALSE)</f>
        <v>Wants</v>
      </c>
      <c r="G310" t="s">
        <v>81</v>
      </c>
      <c r="H310" s="1" t="s">
        <v>474</v>
      </c>
    </row>
    <row r="311" spans="1:9" x14ac:dyDescent="0.3">
      <c r="A311" s="107" t="str">
        <f t="shared" si="51"/>
        <v>2024 10 (Oct)</v>
      </c>
      <c r="B311" s="165">
        <v>45595</v>
      </c>
      <c r="C311" s="162" t="str">
        <f t="shared" si="72"/>
        <v>Wednesday</v>
      </c>
      <c r="D311" t="s">
        <v>299</v>
      </c>
      <c r="E311" s="2">
        <v>3299</v>
      </c>
      <c r="F311" t="str">
        <f>VLOOKUP(G311,'Expenses Reference'!$A$1:$B$23,2, FALSE)</f>
        <v>Wants</v>
      </c>
      <c r="G311" t="s">
        <v>185</v>
      </c>
      <c r="I311" s="1" t="s">
        <v>310</v>
      </c>
    </row>
    <row r="312" spans="1:9" s="199" customFormat="1" ht="15" thickBot="1" x14ac:dyDescent="0.35">
      <c r="A312" s="196" t="str">
        <f t="shared" si="51"/>
        <v>2024 10 (Oct)</v>
      </c>
      <c r="B312" s="197">
        <v>45595</v>
      </c>
      <c r="C312" s="198" t="str">
        <f t="shared" si="71"/>
        <v>Wednesday</v>
      </c>
      <c r="D312" s="199" t="s">
        <v>291</v>
      </c>
      <c r="E312" s="200">
        <v>144</v>
      </c>
      <c r="F312" s="199" t="str">
        <f>VLOOKUP(G312,'Expenses Reference'!$A$1:$B$23,2, FALSE)</f>
        <v>Wants</v>
      </c>
      <c r="G312" s="199" t="s">
        <v>84</v>
      </c>
      <c r="H312" s="201" t="s">
        <v>474</v>
      </c>
      <c r="I312" s="201"/>
    </row>
    <row r="313" spans="1:9" s="152" customFormat="1" x14ac:dyDescent="0.3">
      <c r="A313" s="167" t="str">
        <f t="shared" si="51"/>
        <v>2024 11 (Nov)</v>
      </c>
      <c r="B313" s="164">
        <v>45597</v>
      </c>
      <c r="C313" s="163" t="str">
        <f t="shared" si="71"/>
        <v>Friday</v>
      </c>
      <c r="D313" s="152" t="s">
        <v>302</v>
      </c>
      <c r="E313" s="153">
        <v>1693</v>
      </c>
      <c r="F313" s="152" t="str">
        <f>VLOOKUP(G313,'Expenses Reference'!$A$1:$B$23,2, FALSE)</f>
        <v>Wants</v>
      </c>
      <c r="G313" s="152" t="s">
        <v>185</v>
      </c>
      <c r="H313" s="154"/>
      <c r="I313" s="154"/>
    </row>
    <row r="314" spans="1:9" s="152" customFormat="1" x14ac:dyDescent="0.3">
      <c r="A314" s="167" t="str">
        <f t="shared" si="51"/>
        <v>2024 11 (Nov)</v>
      </c>
      <c r="B314" s="164">
        <v>45597</v>
      </c>
      <c r="C314" s="163" t="str">
        <f t="shared" ref="C314:C322" si="73">CHOOSE(WEEKDAY(B314),"Sunday","Monday","Tuesday","Wednesday","Thursday","Friday","Saturday")</f>
        <v>Friday</v>
      </c>
      <c r="D314" s="152" t="s">
        <v>303</v>
      </c>
      <c r="E314" s="153">
        <v>3391</v>
      </c>
      <c r="F314" s="152" t="str">
        <f>VLOOKUP(G314,'Expenses Reference'!$A$1:$B$23,2, FALSE)</f>
        <v>Wants</v>
      </c>
      <c r="G314" s="152" t="s">
        <v>185</v>
      </c>
      <c r="H314" s="154"/>
      <c r="I314" s="154"/>
    </row>
    <row r="315" spans="1:9" s="152" customFormat="1" x14ac:dyDescent="0.3">
      <c r="A315" s="167" t="str">
        <f t="shared" si="51"/>
        <v>2024 11 (Nov)</v>
      </c>
      <c r="B315" s="164">
        <v>45597</v>
      </c>
      <c r="C315" s="163" t="str">
        <f t="shared" si="73"/>
        <v>Friday</v>
      </c>
      <c r="D315" s="152" t="s">
        <v>304</v>
      </c>
      <c r="E315" s="153">
        <v>999</v>
      </c>
      <c r="F315" s="152" t="str">
        <f>VLOOKUP(G315,'Expenses Reference'!$A$1:$B$23,2, FALSE)</f>
        <v>Wants</v>
      </c>
      <c r="G315" s="152" t="s">
        <v>191</v>
      </c>
      <c r="H315" s="154"/>
      <c r="I315" s="154"/>
    </row>
    <row r="316" spans="1:9" s="152" customFormat="1" x14ac:dyDescent="0.3">
      <c r="A316" s="167" t="str">
        <f t="shared" si="51"/>
        <v>2024 11 (Nov)</v>
      </c>
      <c r="B316" s="164">
        <v>45597</v>
      </c>
      <c r="C316" s="163" t="str">
        <f t="shared" si="73"/>
        <v>Friday</v>
      </c>
      <c r="D316" s="152" t="s">
        <v>305</v>
      </c>
      <c r="E316" s="153">
        <v>425</v>
      </c>
      <c r="F316" s="152" t="str">
        <f>VLOOKUP(G316,'Expenses Reference'!$A$1:$B$23,2, FALSE)</f>
        <v>Wants</v>
      </c>
      <c r="G316" s="152" t="s">
        <v>81</v>
      </c>
      <c r="H316" s="154" t="s">
        <v>474</v>
      </c>
      <c r="I316" s="154"/>
    </row>
    <row r="317" spans="1:9" s="152" customFormat="1" x14ac:dyDescent="0.3">
      <c r="A317" s="167" t="str">
        <f t="shared" si="51"/>
        <v>2024 11 (Nov)</v>
      </c>
      <c r="B317" s="164">
        <v>45597</v>
      </c>
      <c r="C317" s="163" t="str">
        <f t="shared" si="73"/>
        <v>Friday</v>
      </c>
      <c r="D317" s="152" t="s">
        <v>306</v>
      </c>
      <c r="E317" s="153">
        <v>1098</v>
      </c>
      <c r="F317" s="152" t="str">
        <f>VLOOKUP(G317,'Expenses Reference'!$A$1:$B$23,2, FALSE)</f>
        <v>Wants</v>
      </c>
      <c r="G317" s="152" t="s">
        <v>188</v>
      </c>
      <c r="H317" s="154" t="s">
        <v>474</v>
      </c>
      <c r="I317" s="154"/>
    </row>
    <row r="318" spans="1:9" s="152" customFormat="1" x14ac:dyDescent="0.3">
      <c r="A318" s="167" t="str">
        <f t="shared" si="51"/>
        <v>2024 11 (Nov)</v>
      </c>
      <c r="B318" s="164">
        <v>45597</v>
      </c>
      <c r="C318" s="163" t="str">
        <f t="shared" si="73"/>
        <v>Friday</v>
      </c>
      <c r="D318" s="152" t="s">
        <v>307</v>
      </c>
      <c r="E318" s="153">
        <v>916</v>
      </c>
      <c r="F318" s="152" t="str">
        <f>VLOOKUP(G318,'Expenses Reference'!$A$1:$B$23,2, FALSE)</f>
        <v>Wants</v>
      </c>
      <c r="G318" s="152" t="s">
        <v>81</v>
      </c>
      <c r="H318" s="154" t="s">
        <v>474</v>
      </c>
      <c r="I318" s="154" t="s">
        <v>274</v>
      </c>
    </row>
    <row r="319" spans="1:9" s="152" customFormat="1" x14ac:dyDescent="0.3">
      <c r="A319" s="167" t="str">
        <f t="shared" si="51"/>
        <v>2024 11 (Nov)</v>
      </c>
      <c r="B319" s="164">
        <v>45597</v>
      </c>
      <c r="C319" s="163" t="str">
        <f t="shared" si="73"/>
        <v>Friday</v>
      </c>
      <c r="D319" s="152" t="s">
        <v>308</v>
      </c>
      <c r="E319" s="153">
        <v>500</v>
      </c>
      <c r="F319" s="152" t="str">
        <f>VLOOKUP(G319,'Expenses Reference'!$A$1:$B$23,2, FALSE)</f>
        <v>Wants</v>
      </c>
      <c r="G319" s="152" t="s">
        <v>81</v>
      </c>
      <c r="H319" s="154" t="s">
        <v>474</v>
      </c>
      <c r="I319" s="154"/>
    </row>
    <row r="320" spans="1:9" s="152" customFormat="1" x14ac:dyDescent="0.3">
      <c r="A320" s="167" t="str">
        <f t="shared" si="51"/>
        <v>2024 11 (Nov)</v>
      </c>
      <c r="B320" s="164">
        <v>45597</v>
      </c>
      <c r="C320" s="163" t="str">
        <f t="shared" si="73"/>
        <v>Friday</v>
      </c>
      <c r="D320" s="152" t="s">
        <v>80</v>
      </c>
      <c r="E320" s="153">
        <v>147</v>
      </c>
      <c r="F320" s="152" t="str">
        <f>VLOOKUP(G320,'Expenses Reference'!$A$1:$B$23,2, FALSE)</f>
        <v>Wants</v>
      </c>
      <c r="G320" s="152" t="s">
        <v>84</v>
      </c>
      <c r="H320" s="154" t="s">
        <v>474</v>
      </c>
      <c r="I320" s="154"/>
    </row>
    <row r="321" spans="1:9" x14ac:dyDescent="0.3">
      <c r="A321" s="107" t="str">
        <f t="shared" si="51"/>
        <v>2024 11 (Nov)</v>
      </c>
      <c r="B321" s="165">
        <v>45598</v>
      </c>
      <c r="C321" s="162" t="str">
        <f t="shared" si="73"/>
        <v>Saturday</v>
      </c>
      <c r="D321" t="s">
        <v>309</v>
      </c>
      <c r="E321" s="2">
        <v>388</v>
      </c>
      <c r="F321" t="str">
        <f>VLOOKUP(G321,'Expenses Reference'!$A$1:$B$23,2, FALSE)</f>
        <v>Needs</v>
      </c>
      <c r="G321" t="s">
        <v>34</v>
      </c>
      <c r="H321" s="1" t="s">
        <v>474</v>
      </c>
    </row>
    <row r="322" spans="1:9" x14ac:dyDescent="0.3">
      <c r="A322" s="107" t="str">
        <f t="shared" si="51"/>
        <v>2024 11 (Nov)</v>
      </c>
      <c r="B322" s="165">
        <v>45598</v>
      </c>
      <c r="C322" s="162" t="str">
        <f t="shared" si="73"/>
        <v>Saturday</v>
      </c>
      <c r="D322" t="s">
        <v>107</v>
      </c>
      <c r="E322" s="2">
        <f>20000+2000/3</f>
        <v>20666.666666666668</v>
      </c>
      <c r="F322" t="str">
        <f>VLOOKUP(G322,'Expenses Reference'!$A$1:$B$23,2, FALSE)</f>
        <v>Needs</v>
      </c>
      <c r="G322" t="s">
        <v>30</v>
      </c>
    </row>
    <row r="323" spans="1:9" x14ac:dyDescent="0.3">
      <c r="A323" s="107" t="str">
        <f t="shared" ref="A323:A386" si="74">_xlfn.CONCAT(YEAR(B323), " ", CHOOSE(MONTH(B323), "01 (Jan)", "02 (Feb)", "03 (Mar)", "04 (Apr)", "05 (May)", "06 (Jun)", "07 (Jul)", "08 (Aug)", "09 (Sep)", "10 (Oct)", "11 (Nov)", "12 (Dec)"))</f>
        <v>2024 11 (Nov)</v>
      </c>
      <c r="B323" s="165">
        <v>45598</v>
      </c>
      <c r="C323" s="162" t="str">
        <f t="shared" ref="C323" si="75">CHOOSE(WEEKDAY(B323),"Sunday","Monday","Tuesday","Wednesday","Thursday","Friday","Saturday")</f>
        <v>Saturday</v>
      </c>
      <c r="D323" t="s">
        <v>311</v>
      </c>
      <c r="E323" s="2">
        <v>1991</v>
      </c>
      <c r="F323" t="str">
        <f>VLOOKUP(G323,'Expenses Reference'!$A$1:$B$23,2, FALSE)</f>
        <v>Wants</v>
      </c>
      <c r="G323" t="s">
        <v>188</v>
      </c>
      <c r="H323" s="1" t="s">
        <v>474</v>
      </c>
    </row>
    <row r="324" spans="1:9" x14ac:dyDescent="0.3">
      <c r="A324" s="107" t="str">
        <f t="shared" si="74"/>
        <v>2024 11 (Nov)</v>
      </c>
      <c r="B324" s="165">
        <v>45598</v>
      </c>
      <c r="C324" s="162" t="str">
        <f t="shared" ref="C324:C325" si="76">CHOOSE(WEEKDAY(B324),"Sunday","Monday","Tuesday","Wednesday","Thursday","Friday","Saturday")</f>
        <v>Saturday</v>
      </c>
      <c r="D324" t="s">
        <v>313</v>
      </c>
      <c r="E324" s="2">
        <v>358</v>
      </c>
      <c r="F324" t="str">
        <f>VLOOKUP(G324,'Expenses Reference'!$A$1:$B$23,2, FALSE)</f>
        <v>Needs</v>
      </c>
      <c r="G324" t="s">
        <v>34</v>
      </c>
      <c r="H324" s="1" t="s">
        <v>474</v>
      </c>
    </row>
    <row r="325" spans="1:9" x14ac:dyDescent="0.3">
      <c r="A325" s="107" t="str">
        <f t="shared" si="74"/>
        <v>2024 11 (Nov)</v>
      </c>
      <c r="B325" s="165">
        <v>45598</v>
      </c>
      <c r="C325" s="162" t="str">
        <f t="shared" si="76"/>
        <v>Saturday</v>
      </c>
      <c r="D325" t="s">
        <v>312</v>
      </c>
      <c r="E325" s="2">
        <v>4000</v>
      </c>
      <c r="F325" t="str">
        <f>VLOOKUP(G325,'Expenses Reference'!$A$1:$B$23,2, FALSE)</f>
        <v>Wants</v>
      </c>
      <c r="G325" t="s">
        <v>188</v>
      </c>
      <c r="H325" s="1" t="s">
        <v>474</v>
      </c>
    </row>
    <row r="326" spans="1:9" x14ac:dyDescent="0.3">
      <c r="A326" s="107" t="str">
        <f t="shared" si="74"/>
        <v>2024 11 (Nov)</v>
      </c>
      <c r="B326" s="165">
        <v>45598</v>
      </c>
      <c r="C326" s="162" t="str">
        <f t="shared" ref="C326:C327" si="77">CHOOSE(WEEKDAY(B326),"Sunday","Monday","Tuesday","Wednesday","Thursday","Friday","Saturday")</f>
        <v>Saturday</v>
      </c>
      <c r="D326" t="s">
        <v>314</v>
      </c>
      <c r="E326" s="2">
        <v>250</v>
      </c>
      <c r="F326" t="str">
        <f>VLOOKUP(G326,'Expenses Reference'!$A$1:$B$23,2, FALSE)</f>
        <v>Wants</v>
      </c>
      <c r="G326" t="s">
        <v>84</v>
      </c>
      <c r="H326" s="1" t="s">
        <v>474</v>
      </c>
    </row>
    <row r="327" spans="1:9" s="152" customFormat="1" x14ac:dyDescent="0.3">
      <c r="A327" s="167" t="str">
        <f t="shared" si="74"/>
        <v>2024 11 (Nov)</v>
      </c>
      <c r="B327" s="164">
        <v>45599</v>
      </c>
      <c r="C327" s="163" t="str">
        <f t="shared" si="77"/>
        <v>Sunday</v>
      </c>
      <c r="D327" s="152" t="s">
        <v>315</v>
      </c>
      <c r="E327" s="153">
        <v>303</v>
      </c>
      <c r="F327" s="152" t="str">
        <f>VLOOKUP(G327,'Expenses Reference'!$A$1:$B$23,2, FALSE)</f>
        <v>Wants</v>
      </c>
      <c r="G327" s="152" t="s">
        <v>191</v>
      </c>
      <c r="H327" s="154"/>
      <c r="I327" s="154"/>
    </row>
    <row r="328" spans="1:9" s="152" customFormat="1" x14ac:dyDescent="0.3">
      <c r="A328" s="167" t="str">
        <f t="shared" si="74"/>
        <v>2024 11 (Nov)</v>
      </c>
      <c r="B328" s="164">
        <v>45599</v>
      </c>
      <c r="C328" s="163" t="str">
        <f t="shared" ref="C328:C330" si="78">CHOOSE(WEEKDAY(B328),"Sunday","Monday","Tuesday","Wednesday","Thursday","Friday","Saturday")</f>
        <v>Sunday</v>
      </c>
      <c r="D328" s="152" t="s">
        <v>316</v>
      </c>
      <c r="E328" s="153">
        <v>158</v>
      </c>
      <c r="F328" s="152" t="str">
        <f>VLOOKUP(G328,'Expenses Reference'!$A$1:$B$23,2, FALSE)</f>
        <v>Needs</v>
      </c>
      <c r="G328" s="152" t="s">
        <v>34</v>
      </c>
      <c r="H328" s="154"/>
      <c r="I328" s="154"/>
    </row>
    <row r="329" spans="1:9" s="152" customFormat="1" x14ac:dyDescent="0.3">
      <c r="A329" s="167" t="str">
        <f t="shared" si="74"/>
        <v>2024 11 (Nov)</v>
      </c>
      <c r="B329" s="164">
        <v>45599</v>
      </c>
      <c r="C329" s="163" t="str">
        <f t="shared" si="78"/>
        <v>Sunday</v>
      </c>
      <c r="D329" s="152" t="s">
        <v>211</v>
      </c>
      <c r="E329" s="153">
        <f>241.98+98.04+232.98</f>
        <v>573</v>
      </c>
      <c r="F329" s="152" t="str">
        <f>VLOOKUP(G329,'Expenses Reference'!$A$1:$B$23,2, FALSE)</f>
        <v>Wants</v>
      </c>
      <c r="G329" s="152" t="s">
        <v>81</v>
      </c>
      <c r="H329" s="154"/>
      <c r="I329" s="154"/>
    </row>
    <row r="330" spans="1:9" s="152" customFormat="1" x14ac:dyDescent="0.3">
      <c r="A330" s="167" t="str">
        <f t="shared" si="74"/>
        <v>2024 11 (Nov)</v>
      </c>
      <c r="B330" s="164">
        <v>45599</v>
      </c>
      <c r="C330" s="163" t="str">
        <f t="shared" si="78"/>
        <v>Sunday</v>
      </c>
      <c r="D330" s="152" t="s">
        <v>318</v>
      </c>
      <c r="E330" s="153">
        <v>690</v>
      </c>
      <c r="F330" s="152" t="str">
        <f>VLOOKUP(G330,'Expenses Reference'!$A$1:$B$23,2, FALSE)</f>
        <v>Wants</v>
      </c>
      <c r="G330" s="152" t="s">
        <v>83</v>
      </c>
      <c r="H330" s="154"/>
      <c r="I330" s="154"/>
    </row>
    <row r="331" spans="1:9" s="152" customFormat="1" x14ac:dyDescent="0.3">
      <c r="A331" s="167" t="str">
        <f t="shared" si="74"/>
        <v>2024 11 (Nov)</v>
      </c>
      <c r="B331" s="164">
        <v>45599</v>
      </c>
      <c r="C331" s="163" t="str">
        <f t="shared" ref="C331" si="79">CHOOSE(WEEKDAY(B331),"Sunday","Monday","Tuesday","Wednesday","Thursday","Friday","Saturday")</f>
        <v>Sunday</v>
      </c>
      <c r="D331" s="152" t="s">
        <v>302</v>
      </c>
      <c r="E331" s="153">
        <v>1537</v>
      </c>
      <c r="F331" s="152" t="str">
        <f>VLOOKUP(G331,'Expenses Reference'!$A$1:$B$23,2, FALSE)</f>
        <v>Wants</v>
      </c>
      <c r="G331" s="152" t="s">
        <v>185</v>
      </c>
      <c r="H331" s="154"/>
      <c r="I331" s="154" t="s">
        <v>319</v>
      </c>
    </row>
    <row r="332" spans="1:9" x14ac:dyDescent="0.3">
      <c r="A332" s="107" t="str">
        <f t="shared" si="74"/>
        <v>2024 11 (Nov)</v>
      </c>
      <c r="B332" s="165">
        <v>45600</v>
      </c>
      <c r="C332" s="162" t="str">
        <f t="shared" ref="C332" si="80">CHOOSE(WEEKDAY(B332),"Sunday","Monday","Tuesday","Wednesday","Thursday","Friday","Saturday")</f>
        <v>Monday</v>
      </c>
      <c r="D332" t="s">
        <v>209</v>
      </c>
      <c r="E332" s="2">
        <v>15000</v>
      </c>
      <c r="F332" t="str">
        <f>VLOOKUP(G332,'Expenses Reference'!$A$1:$B$23,2, FALSE)</f>
        <v>Investments</v>
      </c>
      <c r="G332" t="s">
        <v>217</v>
      </c>
    </row>
    <row r="333" spans="1:9" x14ac:dyDescent="0.3">
      <c r="A333" s="107" t="str">
        <f t="shared" si="74"/>
        <v>2024 11 (Nov)</v>
      </c>
      <c r="B333" s="165">
        <v>45600</v>
      </c>
      <c r="C333" s="162" t="str">
        <f t="shared" ref="C333:C337" si="81">CHOOSE(WEEKDAY(B333),"Sunday","Monday","Tuesday","Wednesday","Thursday","Friday","Saturday")</f>
        <v>Monday</v>
      </c>
      <c r="D333" t="s">
        <v>211</v>
      </c>
      <c r="E333" s="2">
        <v>823</v>
      </c>
      <c r="F333" t="str">
        <f>VLOOKUP(G333,'Expenses Reference'!$A$1:$B$23,2, FALSE)</f>
        <v>Wants</v>
      </c>
      <c r="G333" t="s">
        <v>81</v>
      </c>
    </row>
    <row r="334" spans="1:9" x14ac:dyDescent="0.3">
      <c r="A334" s="107" t="str">
        <f t="shared" si="74"/>
        <v>2024 11 (Nov)</v>
      </c>
      <c r="B334" s="165">
        <v>45600</v>
      </c>
      <c r="C334" s="162" t="str">
        <f t="shared" ref="C334" si="82">CHOOSE(WEEKDAY(B334),"Sunday","Monday","Tuesday","Wednesday","Thursday","Friday","Saturday")</f>
        <v>Monday</v>
      </c>
      <c r="D334" t="s">
        <v>32</v>
      </c>
      <c r="E334" s="2">
        <f>2000/3</f>
        <v>666.66666666666663</v>
      </c>
      <c r="F334" t="str">
        <f>VLOOKUP(G334,'Expenses Reference'!$A$1:$B$23,2, FALSE)</f>
        <v>Needs</v>
      </c>
      <c r="G334" t="s">
        <v>32</v>
      </c>
    </row>
    <row r="335" spans="1:9" x14ac:dyDescent="0.3">
      <c r="A335" s="107" t="str">
        <f t="shared" si="74"/>
        <v>2024 11 (Nov)</v>
      </c>
      <c r="B335" s="165">
        <v>45600</v>
      </c>
      <c r="C335" s="162" t="str">
        <f t="shared" si="81"/>
        <v>Monday</v>
      </c>
      <c r="D335" t="s">
        <v>320</v>
      </c>
      <c r="E335" s="2">
        <f>96/3</f>
        <v>32</v>
      </c>
      <c r="F335" t="str">
        <f>VLOOKUP(G335,'Expenses Reference'!$A$1:$B$23,2, FALSE)</f>
        <v>Wants</v>
      </c>
      <c r="G335" t="s">
        <v>84</v>
      </c>
      <c r="H335" s="1" t="s">
        <v>501</v>
      </c>
    </row>
    <row r="336" spans="1:9" x14ac:dyDescent="0.3">
      <c r="A336" s="107" t="str">
        <f t="shared" si="74"/>
        <v>2024 11 (Nov)</v>
      </c>
      <c r="B336" s="165">
        <v>45600</v>
      </c>
      <c r="C336" s="162" t="str">
        <f t="shared" si="81"/>
        <v>Monday</v>
      </c>
      <c r="D336" t="s">
        <v>332</v>
      </c>
      <c r="E336" s="2">
        <v>317.43</v>
      </c>
      <c r="F336" t="str">
        <f>VLOOKUP(G336,'Expenses Reference'!$A$1:$B$23,2, FALSE)</f>
        <v>Wants</v>
      </c>
      <c r="G336" t="s">
        <v>203</v>
      </c>
      <c r="H336" s="1" t="s">
        <v>501</v>
      </c>
    </row>
    <row r="337" spans="1:9" x14ac:dyDescent="0.3">
      <c r="A337" s="107" t="str">
        <f t="shared" si="74"/>
        <v>2024 11 (Nov)</v>
      </c>
      <c r="B337" s="165">
        <v>45600</v>
      </c>
      <c r="C337" s="162" t="str">
        <f t="shared" si="81"/>
        <v>Monday</v>
      </c>
      <c r="D337" t="s">
        <v>322</v>
      </c>
      <c r="E337" s="2">
        <f>114+90</f>
        <v>204</v>
      </c>
      <c r="F337" t="str">
        <f>VLOOKUP(G337,'Expenses Reference'!$A$1:$B$23,2, FALSE)</f>
        <v>Wants</v>
      </c>
      <c r="G337" t="s">
        <v>81</v>
      </c>
      <c r="H337" s="1" t="s">
        <v>501</v>
      </c>
    </row>
    <row r="338" spans="1:9" x14ac:dyDescent="0.3">
      <c r="A338" s="107" t="str">
        <f t="shared" si="74"/>
        <v>2024 11 (Nov)</v>
      </c>
      <c r="B338" s="165">
        <v>45600</v>
      </c>
      <c r="C338" s="162" t="str">
        <f t="shared" ref="C338:C341" si="83">CHOOSE(WEEKDAY(B338),"Sunday","Monday","Tuesday","Wednesday","Thursday","Friday","Saturday")</f>
        <v>Monday</v>
      </c>
      <c r="D338" t="s">
        <v>321</v>
      </c>
      <c r="E338" s="2">
        <f>195/3</f>
        <v>65</v>
      </c>
      <c r="F338" t="str">
        <f>VLOOKUP(G338,'Expenses Reference'!$A$1:$B$23,2, FALSE)</f>
        <v>Wants</v>
      </c>
      <c r="G338" t="s">
        <v>84</v>
      </c>
      <c r="H338" s="1" t="s">
        <v>501</v>
      </c>
    </row>
    <row r="339" spans="1:9" s="152" customFormat="1" x14ac:dyDescent="0.3">
      <c r="A339" s="167" t="str">
        <f t="shared" si="74"/>
        <v>2024 11 (Nov)</v>
      </c>
      <c r="B339" s="164">
        <v>45601</v>
      </c>
      <c r="C339" s="163" t="str">
        <f t="shared" ref="C339:C340" si="84">CHOOSE(WEEKDAY(B339),"Sunday","Monday","Tuesday","Wednesday","Thursday","Friday","Saturday")</f>
        <v>Tuesday</v>
      </c>
      <c r="D339" s="152" t="s">
        <v>317</v>
      </c>
      <c r="E339" s="153">
        <f>682</f>
        <v>682</v>
      </c>
      <c r="F339" s="152" t="str">
        <f>VLOOKUP(G339,'Expenses Reference'!$A$1:$B$23,2, FALSE)</f>
        <v>Needs</v>
      </c>
      <c r="G339" s="152" t="s">
        <v>34</v>
      </c>
      <c r="H339" s="154"/>
      <c r="I339" s="154"/>
    </row>
    <row r="340" spans="1:9" s="152" customFormat="1" x14ac:dyDescent="0.3">
      <c r="A340" s="167" t="str">
        <f t="shared" si="74"/>
        <v>2024 11 (Nov)</v>
      </c>
      <c r="B340" s="164">
        <v>45601</v>
      </c>
      <c r="C340" s="163" t="str">
        <f t="shared" si="84"/>
        <v>Tuesday</v>
      </c>
      <c r="D340" s="152" t="s">
        <v>211</v>
      </c>
      <c r="E340" s="153">
        <f>179+99</f>
        <v>278</v>
      </c>
      <c r="F340" s="152" t="str">
        <f>VLOOKUP(G340,'Expenses Reference'!$A$1:$B$23,2, FALSE)</f>
        <v>Wants</v>
      </c>
      <c r="G340" s="152" t="s">
        <v>81</v>
      </c>
      <c r="H340" s="154"/>
      <c r="I340" s="154"/>
    </row>
    <row r="341" spans="1:9" s="152" customFormat="1" x14ac:dyDescent="0.3">
      <c r="A341" s="167" t="str">
        <f t="shared" si="74"/>
        <v>2024 11 (Nov)</v>
      </c>
      <c r="B341" s="164">
        <v>45601</v>
      </c>
      <c r="C341" s="163" t="str">
        <f t="shared" si="83"/>
        <v>Tuesday</v>
      </c>
      <c r="D341" s="152" t="s">
        <v>324</v>
      </c>
      <c r="E341" s="153">
        <v>144</v>
      </c>
      <c r="F341" s="152" t="str">
        <f>VLOOKUP(G341,'Expenses Reference'!$A$1:$B$23,2, FALSE)</f>
        <v>Needs</v>
      </c>
      <c r="G341" s="152" t="s">
        <v>34</v>
      </c>
      <c r="H341" s="154"/>
      <c r="I341" s="154" t="s">
        <v>325</v>
      </c>
    </row>
    <row r="342" spans="1:9" s="152" customFormat="1" x14ac:dyDescent="0.3">
      <c r="A342" s="167" t="str">
        <f t="shared" si="74"/>
        <v>2024 11 (Nov)</v>
      </c>
      <c r="B342" s="164">
        <v>45601</v>
      </c>
      <c r="C342" s="163" t="str">
        <f t="shared" ref="C342:C344" si="85">CHOOSE(WEEKDAY(B342),"Sunday","Monday","Tuesday","Wednesday","Thursday","Friday","Saturday")</f>
        <v>Tuesday</v>
      </c>
      <c r="D342" s="152" t="s">
        <v>323</v>
      </c>
      <c r="E342" s="153">
        <f>90/3</f>
        <v>30</v>
      </c>
      <c r="F342" s="152" t="str">
        <f>VLOOKUP(G342,'Expenses Reference'!$A$1:$B$23,2, FALSE)</f>
        <v>Needs</v>
      </c>
      <c r="G342" s="152" t="s">
        <v>34</v>
      </c>
      <c r="H342" s="154"/>
      <c r="I342" s="154"/>
    </row>
    <row r="343" spans="1:9" s="152" customFormat="1" x14ac:dyDescent="0.3">
      <c r="A343" s="167" t="str">
        <f t="shared" si="74"/>
        <v>2024 11 (Nov)</v>
      </c>
      <c r="B343" s="164">
        <v>45601</v>
      </c>
      <c r="C343" s="163" t="str">
        <f t="shared" si="85"/>
        <v>Tuesday</v>
      </c>
      <c r="D343" s="152" t="s">
        <v>214</v>
      </c>
      <c r="E343" s="153">
        <v>325</v>
      </c>
      <c r="F343" s="152" t="str">
        <f>VLOOKUP(G343,'Expenses Reference'!$A$1:$B$23,2, FALSE)</f>
        <v>Wants</v>
      </c>
      <c r="G343" s="152" t="s">
        <v>81</v>
      </c>
      <c r="H343" s="154"/>
      <c r="I343" s="154"/>
    </row>
    <row r="344" spans="1:9" x14ac:dyDescent="0.3">
      <c r="A344" s="107" t="str">
        <f t="shared" si="74"/>
        <v>2024 11 (Nov)</v>
      </c>
      <c r="B344" s="165">
        <v>45602</v>
      </c>
      <c r="C344" s="162" t="str">
        <f t="shared" si="85"/>
        <v>Wednesday</v>
      </c>
      <c r="D344" t="s">
        <v>169</v>
      </c>
      <c r="E344" s="2">
        <v>85</v>
      </c>
      <c r="F344" t="str">
        <f>VLOOKUP(G344,'Expenses Reference'!$A$1:$B$23,2, FALSE)</f>
        <v>Needs</v>
      </c>
      <c r="G344" t="s">
        <v>213</v>
      </c>
    </row>
    <row r="345" spans="1:9" s="152" customFormat="1" x14ac:dyDescent="0.3">
      <c r="A345" s="167" t="str">
        <f t="shared" si="74"/>
        <v>2024 11 (Nov)</v>
      </c>
      <c r="B345" s="164">
        <v>45603</v>
      </c>
      <c r="C345" s="163" t="str">
        <f t="shared" ref="C345" si="86">CHOOSE(WEEKDAY(B345),"Sunday","Monday","Tuesday","Wednesday","Thursday","Friday","Saturday")</f>
        <v>Thursday</v>
      </c>
      <c r="D345" s="152" t="s">
        <v>169</v>
      </c>
      <c r="E345" s="153">
        <v>80</v>
      </c>
      <c r="F345" s="152" t="str">
        <f>VLOOKUP(G345,'Expenses Reference'!$A$1:$B$23,2, FALSE)</f>
        <v>Needs</v>
      </c>
      <c r="G345" s="152" t="s">
        <v>213</v>
      </c>
      <c r="H345" s="154"/>
      <c r="I345" s="154"/>
    </row>
    <row r="346" spans="1:9" s="152" customFormat="1" x14ac:dyDescent="0.3">
      <c r="A346" s="167" t="str">
        <f t="shared" si="74"/>
        <v>2024 11 (Nov)</v>
      </c>
      <c r="B346" s="164">
        <v>45603</v>
      </c>
      <c r="C346" s="163" t="str">
        <f t="shared" ref="C346:C355" si="87">CHOOSE(WEEKDAY(B346),"Sunday","Monday","Tuesday","Wednesday","Thursday","Friday","Saturday")</f>
        <v>Thursday</v>
      </c>
      <c r="D346" s="152" t="s">
        <v>67</v>
      </c>
      <c r="E346" s="153">
        <v>174</v>
      </c>
      <c r="F346" s="152" t="str">
        <f>VLOOKUP(G346,'Expenses Reference'!$A$1:$B$23,2, FALSE)</f>
        <v>Needs</v>
      </c>
      <c r="G346" s="152" t="s">
        <v>35</v>
      </c>
      <c r="H346" s="154"/>
      <c r="I346" s="154"/>
    </row>
    <row r="347" spans="1:9" s="152" customFormat="1" x14ac:dyDescent="0.3">
      <c r="A347" s="167" t="str">
        <f t="shared" si="74"/>
        <v>2024 11 (Nov)</v>
      </c>
      <c r="B347" s="164">
        <v>45603</v>
      </c>
      <c r="C347" s="163" t="str">
        <f t="shared" ref="C347:C351" si="88">CHOOSE(WEEKDAY(B347),"Sunday","Monday","Tuesday","Wednesday","Thursday","Friday","Saturday")</f>
        <v>Thursday</v>
      </c>
      <c r="D347" s="152" t="s">
        <v>328</v>
      </c>
      <c r="E347" s="153">
        <f>1113/3</f>
        <v>371</v>
      </c>
      <c r="F347" s="152" t="str">
        <f>VLOOKUP(G347,'Expenses Reference'!$A$1:$B$23,2, FALSE)</f>
        <v>Wants</v>
      </c>
      <c r="G347" s="152" t="s">
        <v>81</v>
      </c>
      <c r="H347" s="154"/>
      <c r="I347" s="154"/>
    </row>
    <row r="348" spans="1:9" s="152" customFormat="1" x14ac:dyDescent="0.3">
      <c r="A348" s="167" t="str">
        <f t="shared" si="74"/>
        <v>2024 11 (Nov)</v>
      </c>
      <c r="B348" s="164">
        <v>45603</v>
      </c>
      <c r="C348" s="163" t="str">
        <f t="shared" si="88"/>
        <v>Thursday</v>
      </c>
      <c r="D348" s="152" t="s">
        <v>110</v>
      </c>
      <c r="E348" s="153">
        <v>330</v>
      </c>
      <c r="F348" s="152" t="str">
        <f>VLOOKUP(G348,'Expenses Reference'!$A$1:$B$23,2, FALSE)</f>
        <v>Wants</v>
      </c>
      <c r="G348" s="152" t="s">
        <v>215</v>
      </c>
      <c r="H348" s="154" t="s">
        <v>501</v>
      </c>
      <c r="I348" s="154"/>
    </row>
    <row r="349" spans="1:9" s="152" customFormat="1" x14ac:dyDescent="0.3">
      <c r="A349" s="167" t="str">
        <f t="shared" si="74"/>
        <v>2024 11 (Nov)</v>
      </c>
      <c r="B349" s="164">
        <v>45603</v>
      </c>
      <c r="C349" s="163" t="str">
        <f t="shared" ref="C349" si="89">CHOOSE(WEEKDAY(B349),"Sunday","Monday","Tuesday","Wednesday","Thursday","Friday","Saturday")</f>
        <v>Thursday</v>
      </c>
      <c r="D349" s="152" t="s">
        <v>80</v>
      </c>
      <c r="E349" s="153">
        <v>100</v>
      </c>
      <c r="F349" s="152" t="str">
        <f>VLOOKUP(G349,'Expenses Reference'!$A$1:$B$23,2, FALSE)</f>
        <v>Wants</v>
      </c>
      <c r="G349" s="152" t="s">
        <v>84</v>
      </c>
      <c r="H349" s="154" t="s">
        <v>501</v>
      </c>
      <c r="I349" s="154"/>
    </row>
    <row r="350" spans="1:9" s="152" customFormat="1" x14ac:dyDescent="0.3">
      <c r="A350" s="167" t="str">
        <f t="shared" si="74"/>
        <v>2024 11 (Nov)</v>
      </c>
      <c r="B350" s="164">
        <v>45603</v>
      </c>
      <c r="C350" s="163" t="str">
        <f t="shared" si="88"/>
        <v>Thursday</v>
      </c>
      <c r="D350" s="152" t="s">
        <v>136</v>
      </c>
      <c r="E350" s="153">
        <v>119</v>
      </c>
      <c r="F350" s="152" t="str">
        <f>VLOOKUP(G350,'Expenses Reference'!$A$1:$B$23,2, FALSE)</f>
        <v>Wants</v>
      </c>
      <c r="G350" s="152" t="s">
        <v>54</v>
      </c>
      <c r="H350" s="154"/>
      <c r="I350" s="154"/>
    </row>
    <row r="351" spans="1:9" s="152" customFormat="1" x14ac:dyDescent="0.3">
      <c r="A351" s="167" t="str">
        <f t="shared" si="74"/>
        <v>2024 11 (Nov)</v>
      </c>
      <c r="B351" s="164">
        <v>45603</v>
      </c>
      <c r="C351" s="163" t="str">
        <f t="shared" si="88"/>
        <v>Thursday</v>
      </c>
      <c r="D351" s="152" t="s">
        <v>335</v>
      </c>
      <c r="E351" s="153">
        <v>2200</v>
      </c>
      <c r="F351" s="152" t="str">
        <f>VLOOKUP(G351,'Expenses Reference'!$A$1:$B$23,2, FALSE)</f>
        <v>Needs</v>
      </c>
      <c r="G351" s="152" t="s">
        <v>119</v>
      </c>
      <c r="H351" s="154" t="s">
        <v>333</v>
      </c>
      <c r="I351" s="154" t="s">
        <v>333</v>
      </c>
    </row>
    <row r="352" spans="1:9" s="152" customFormat="1" x14ac:dyDescent="0.3">
      <c r="A352" s="167" t="str">
        <f t="shared" si="74"/>
        <v>2024 11 (Nov)</v>
      </c>
      <c r="B352" s="164">
        <v>45603</v>
      </c>
      <c r="C352" s="163" t="str">
        <f t="shared" si="87"/>
        <v>Thursday</v>
      </c>
      <c r="D352" s="152" t="s">
        <v>334</v>
      </c>
      <c r="E352" s="153">
        <v>3200</v>
      </c>
      <c r="F352" s="152" t="str">
        <f>VLOOKUP(G352,'Expenses Reference'!$A$1:$B$23,2, FALSE)</f>
        <v>Wants</v>
      </c>
      <c r="G352" s="152" t="s">
        <v>215</v>
      </c>
      <c r="H352" s="154" t="s">
        <v>333</v>
      </c>
      <c r="I352" s="154" t="s">
        <v>333</v>
      </c>
    </row>
    <row r="353" spans="1:9" x14ac:dyDescent="0.3">
      <c r="A353" s="107" t="str">
        <f t="shared" si="74"/>
        <v>2024 11 (Nov)</v>
      </c>
      <c r="B353" s="165">
        <v>45604</v>
      </c>
      <c r="C353" s="162" t="str">
        <f t="shared" si="87"/>
        <v>Friday</v>
      </c>
      <c r="D353" t="s">
        <v>169</v>
      </c>
      <c r="E353" s="2">
        <v>58</v>
      </c>
      <c r="F353" t="str">
        <f>VLOOKUP(G353,'Expenses Reference'!$A$1:$B$23,2, FALSE)</f>
        <v>Needs</v>
      </c>
      <c r="G353" t="s">
        <v>213</v>
      </c>
    </row>
    <row r="354" spans="1:9" x14ac:dyDescent="0.3">
      <c r="A354" s="107" t="str">
        <f t="shared" si="74"/>
        <v>2024 11 (Nov)</v>
      </c>
      <c r="B354" s="165">
        <v>45604</v>
      </c>
      <c r="C354" s="162" t="str">
        <f t="shared" si="87"/>
        <v>Friday</v>
      </c>
      <c r="D354" t="s">
        <v>67</v>
      </c>
      <c r="E354" s="2">
        <f>281+20+115</f>
        <v>416</v>
      </c>
      <c r="F354" t="str">
        <f>VLOOKUP(G354,'Expenses Reference'!$A$1:$B$23,2, FALSE)</f>
        <v>Needs</v>
      </c>
      <c r="G354" t="s">
        <v>35</v>
      </c>
    </row>
    <row r="355" spans="1:9" x14ac:dyDescent="0.3">
      <c r="A355" s="107" t="str">
        <f t="shared" si="74"/>
        <v>2024 11 (Nov)</v>
      </c>
      <c r="B355" s="165">
        <v>45604</v>
      </c>
      <c r="C355" s="162" t="str">
        <f t="shared" si="87"/>
        <v>Friday</v>
      </c>
      <c r="D355" t="s">
        <v>329</v>
      </c>
      <c r="E355" s="2">
        <f>245/3+100</f>
        <v>181.66666666666669</v>
      </c>
      <c r="F355" t="str">
        <f>VLOOKUP(G355,'Expenses Reference'!$A$1:$B$23,2, FALSE)</f>
        <v>Needs</v>
      </c>
      <c r="G355" t="s">
        <v>213</v>
      </c>
    </row>
    <row r="356" spans="1:9" s="152" customFormat="1" x14ac:dyDescent="0.3">
      <c r="A356" s="167" t="str">
        <f t="shared" si="74"/>
        <v>2024 11 (Nov)</v>
      </c>
      <c r="B356" s="164">
        <v>45605</v>
      </c>
      <c r="C356" s="163" t="str">
        <f t="shared" ref="C356" si="90">CHOOSE(WEEKDAY(B356),"Sunday","Monday","Tuesday","Wednesday","Thursday","Friday","Saturday")</f>
        <v>Saturday</v>
      </c>
      <c r="D356" s="152" t="s">
        <v>326</v>
      </c>
      <c r="E356" s="153">
        <v>60</v>
      </c>
      <c r="F356" s="152" t="str">
        <f>VLOOKUP(G356,'Expenses Reference'!$A$1:$B$23,2, FALSE)</f>
        <v>Wants</v>
      </c>
      <c r="G356" s="152" t="s">
        <v>84</v>
      </c>
      <c r="H356" s="154" t="s">
        <v>357</v>
      </c>
      <c r="I356" s="154"/>
    </row>
    <row r="357" spans="1:9" s="152" customFormat="1" x14ac:dyDescent="0.3">
      <c r="A357" s="167" t="str">
        <f t="shared" si="74"/>
        <v>2024 11 (Nov)</v>
      </c>
      <c r="B357" s="164">
        <v>45605</v>
      </c>
      <c r="C357" s="163" t="str">
        <f t="shared" ref="C357:C361" si="91">CHOOSE(WEEKDAY(B357),"Sunday","Monday","Tuesday","Wednesday","Thursday","Friday","Saturday")</f>
        <v>Saturday</v>
      </c>
      <c r="D357" s="152" t="s">
        <v>327</v>
      </c>
      <c r="E357" s="153">
        <f>200+200+157</f>
        <v>557</v>
      </c>
      <c r="F357" s="152" t="str">
        <f>VLOOKUP(G357,'Expenses Reference'!$A$1:$B$23,2, FALSE)</f>
        <v>Wants</v>
      </c>
      <c r="G357" s="152" t="s">
        <v>203</v>
      </c>
      <c r="H357" s="154" t="s">
        <v>357</v>
      </c>
      <c r="I357" s="154" t="s">
        <v>331</v>
      </c>
    </row>
    <row r="358" spans="1:9" s="152" customFormat="1" x14ac:dyDescent="0.3">
      <c r="A358" s="167" t="str">
        <f t="shared" si="74"/>
        <v>2024 11 (Nov)</v>
      </c>
      <c r="B358" s="164">
        <v>45605</v>
      </c>
      <c r="C358" s="163" t="str">
        <f t="shared" si="91"/>
        <v>Saturday</v>
      </c>
      <c r="D358" s="152" t="s">
        <v>330</v>
      </c>
      <c r="E358" s="153">
        <v>60</v>
      </c>
      <c r="F358" s="152" t="str">
        <f>VLOOKUP(G358,'Expenses Reference'!$A$1:$B$23,2, FALSE)</f>
        <v>Wants</v>
      </c>
      <c r="G358" s="152" t="s">
        <v>84</v>
      </c>
      <c r="H358" s="154" t="s">
        <v>357</v>
      </c>
      <c r="I358" s="154"/>
    </row>
    <row r="359" spans="1:9" s="152" customFormat="1" x14ac:dyDescent="0.3">
      <c r="A359" s="167" t="str">
        <f t="shared" si="74"/>
        <v>2024 11 (Nov)</v>
      </c>
      <c r="B359" s="164">
        <v>45605</v>
      </c>
      <c r="C359" s="163" t="str">
        <f t="shared" si="91"/>
        <v>Saturday</v>
      </c>
      <c r="D359" s="152" t="s">
        <v>336</v>
      </c>
      <c r="E359" s="153">
        <v>301</v>
      </c>
      <c r="F359" s="152" t="str">
        <f>VLOOKUP(G359,'Expenses Reference'!$A$1:$B$23,2, FALSE)</f>
        <v>Wants</v>
      </c>
      <c r="G359" s="152" t="s">
        <v>81</v>
      </c>
      <c r="H359" s="154"/>
      <c r="I359" s="154" t="s">
        <v>337</v>
      </c>
    </row>
    <row r="360" spans="1:9" s="152" customFormat="1" x14ac:dyDescent="0.3">
      <c r="A360" s="167" t="str">
        <f t="shared" si="74"/>
        <v>2024 11 (Nov)</v>
      </c>
      <c r="B360" s="164">
        <v>45605</v>
      </c>
      <c r="C360" s="163" t="str">
        <f t="shared" si="91"/>
        <v>Saturday</v>
      </c>
      <c r="D360" s="152" t="s">
        <v>66</v>
      </c>
      <c r="E360" s="153">
        <v>665</v>
      </c>
      <c r="F360" s="152" t="str">
        <f>VLOOKUP(G360,'Expenses Reference'!$A$1:$B$23,2, FALSE)</f>
        <v>Wants</v>
      </c>
      <c r="G360" s="152" t="s">
        <v>288</v>
      </c>
      <c r="H360" s="154"/>
      <c r="I360" s="154"/>
    </row>
    <row r="361" spans="1:9" s="152" customFormat="1" x14ac:dyDescent="0.3">
      <c r="A361" s="167" t="str">
        <f t="shared" si="74"/>
        <v>2024 11 (Nov)</v>
      </c>
      <c r="B361" s="164">
        <v>45605</v>
      </c>
      <c r="C361" s="163" t="str">
        <f t="shared" si="91"/>
        <v>Saturday</v>
      </c>
      <c r="D361" s="152" t="s">
        <v>338</v>
      </c>
      <c r="E361" s="153">
        <f>5774+8402</f>
        <v>14176</v>
      </c>
      <c r="F361" s="152" t="str">
        <f>VLOOKUP(G361,'Expenses Reference'!$A$1:$B$23,2, FALSE)</f>
        <v>Needs</v>
      </c>
      <c r="G361" s="152" t="s">
        <v>119</v>
      </c>
      <c r="H361" s="154" t="s">
        <v>475</v>
      </c>
      <c r="I361" s="154"/>
    </row>
    <row r="362" spans="1:9" x14ac:dyDescent="0.3">
      <c r="A362" s="107" t="str">
        <f t="shared" si="74"/>
        <v>2024 11 (Nov)</v>
      </c>
      <c r="B362" s="165">
        <v>45606</v>
      </c>
      <c r="C362" s="162" t="str">
        <f t="shared" ref="C362" si="92">CHOOSE(WEEKDAY(B362),"Sunday","Monday","Tuesday","Wednesday","Thursday","Friday","Saturday")</f>
        <v>Sunday</v>
      </c>
      <c r="D362" t="s">
        <v>185</v>
      </c>
      <c r="E362" s="2">
        <v>1767</v>
      </c>
      <c r="F362" t="str">
        <f>VLOOKUP(G362,'Expenses Reference'!$A$1:$B$23,2, FALSE)</f>
        <v>Wants</v>
      </c>
      <c r="G362" t="s">
        <v>185</v>
      </c>
      <c r="I362" s="1" t="s">
        <v>339</v>
      </c>
    </row>
    <row r="363" spans="1:9" x14ac:dyDescent="0.3">
      <c r="A363" s="107" t="str">
        <f t="shared" si="74"/>
        <v>2024 11 (Nov)</v>
      </c>
      <c r="B363" s="165">
        <v>45606</v>
      </c>
      <c r="C363" s="162" t="str">
        <f t="shared" ref="C363:C368" si="93">CHOOSE(WEEKDAY(B363),"Sunday","Monday","Tuesday","Wednesday","Thursday","Friday","Saturday")</f>
        <v>Sunday</v>
      </c>
      <c r="D363" t="s">
        <v>66</v>
      </c>
      <c r="E363" s="2">
        <v>393</v>
      </c>
      <c r="F363" t="str">
        <f>VLOOKUP(G363,'Expenses Reference'!$A$1:$B$23,2, FALSE)</f>
        <v>Needs</v>
      </c>
      <c r="G363" t="s">
        <v>34</v>
      </c>
    </row>
    <row r="364" spans="1:9" x14ac:dyDescent="0.3">
      <c r="A364" s="107" t="str">
        <f t="shared" si="74"/>
        <v>2024 11 (Nov)</v>
      </c>
      <c r="B364" s="165">
        <v>45606</v>
      </c>
      <c r="C364" s="162" t="str">
        <f t="shared" si="93"/>
        <v>Sunday</v>
      </c>
      <c r="D364" t="s">
        <v>65</v>
      </c>
      <c r="E364" s="2">
        <f>734/4</f>
        <v>183.5</v>
      </c>
      <c r="F364" t="str">
        <f>VLOOKUP(G364,'Expenses Reference'!$A$1:$B$23,2, FALSE)</f>
        <v>Wants</v>
      </c>
      <c r="G364" t="s">
        <v>81</v>
      </c>
    </row>
    <row r="365" spans="1:9" s="152" customFormat="1" x14ac:dyDescent="0.3">
      <c r="A365" s="167" t="str">
        <f t="shared" si="74"/>
        <v>2024 11 (Nov)</v>
      </c>
      <c r="B365" s="164">
        <v>45607</v>
      </c>
      <c r="C365" s="163" t="str">
        <f t="shared" si="93"/>
        <v>Monday</v>
      </c>
      <c r="D365" s="152" t="s">
        <v>157</v>
      </c>
      <c r="E365" s="153">
        <v>668</v>
      </c>
      <c r="F365" s="152" t="str">
        <f>VLOOKUP(G365,'Expenses Reference'!$A$1:$B$23,2, FALSE)</f>
        <v>Wants</v>
      </c>
      <c r="G365" s="152" t="s">
        <v>191</v>
      </c>
      <c r="H365" s="154"/>
      <c r="I365" s="154" t="s">
        <v>342</v>
      </c>
    </row>
    <row r="366" spans="1:9" s="152" customFormat="1" x14ac:dyDescent="0.3">
      <c r="A366" s="167" t="str">
        <f t="shared" si="74"/>
        <v>2024 11 (Nov)</v>
      </c>
      <c r="B366" s="164">
        <v>45607</v>
      </c>
      <c r="C366" s="163" t="str">
        <f t="shared" si="93"/>
        <v>Monday</v>
      </c>
      <c r="D366" s="152" t="s">
        <v>66</v>
      </c>
      <c r="E366" s="153">
        <v>600</v>
      </c>
      <c r="F366" s="152" t="str">
        <f>VLOOKUP(G366,'Expenses Reference'!$A$1:$B$23,2, FALSE)</f>
        <v>Needs</v>
      </c>
      <c r="G366" s="152" t="s">
        <v>34</v>
      </c>
      <c r="H366" s="154"/>
      <c r="I366" s="154"/>
    </row>
    <row r="367" spans="1:9" s="152" customFormat="1" x14ac:dyDescent="0.3">
      <c r="A367" s="167" t="str">
        <f t="shared" si="74"/>
        <v>2024 11 (Nov)</v>
      </c>
      <c r="B367" s="164">
        <v>45607</v>
      </c>
      <c r="C367" s="163" t="str">
        <f t="shared" si="93"/>
        <v>Monday</v>
      </c>
      <c r="D367" s="152" t="s">
        <v>340</v>
      </c>
      <c r="E367" s="153">
        <v>875</v>
      </c>
      <c r="F367" s="152" t="str">
        <f>VLOOKUP(G367,'Expenses Reference'!$A$1:$B$23,2, FALSE)</f>
        <v>Wants</v>
      </c>
      <c r="G367" s="152" t="s">
        <v>191</v>
      </c>
      <c r="H367" s="154"/>
      <c r="I367" s="154" t="s">
        <v>341</v>
      </c>
    </row>
    <row r="368" spans="1:9" x14ac:dyDescent="0.3">
      <c r="A368" s="107" t="str">
        <f t="shared" si="74"/>
        <v>2024 11 (Nov)</v>
      </c>
      <c r="B368" s="165">
        <v>45608</v>
      </c>
      <c r="C368" s="162" t="str">
        <f t="shared" si="93"/>
        <v>Tuesday</v>
      </c>
      <c r="D368" t="s">
        <v>81</v>
      </c>
      <c r="E368" s="2">
        <v>620</v>
      </c>
      <c r="F368" t="str">
        <f>VLOOKUP(G368,'Expenses Reference'!$A$1:$B$23,2, FALSE)</f>
        <v>Wants</v>
      </c>
      <c r="G368" t="s">
        <v>81</v>
      </c>
    </row>
    <row r="369" spans="1:9" x14ac:dyDescent="0.3">
      <c r="A369" s="107" t="str">
        <f t="shared" si="74"/>
        <v>2024 11 (Nov)</v>
      </c>
      <c r="B369" s="165">
        <v>45608</v>
      </c>
      <c r="C369" s="162" t="str">
        <f t="shared" ref="C369" si="94">CHOOSE(WEEKDAY(B369),"Sunday","Monday","Tuesday","Wednesday","Thursday","Friday","Saturday")</f>
        <v>Tuesday</v>
      </c>
      <c r="D369" t="s">
        <v>343</v>
      </c>
      <c r="E369" s="2">
        <v>1000</v>
      </c>
      <c r="F369" t="str">
        <f>VLOOKUP(G369,'Expenses Reference'!$A$1:$B$23,2, FALSE)</f>
        <v>Wants</v>
      </c>
      <c r="G369" t="s">
        <v>191</v>
      </c>
    </row>
    <row r="370" spans="1:9" s="152" customFormat="1" x14ac:dyDescent="0.3">
      <c r="A370" s="167" t="str">
        <f t="shared" si="74"/>
        <v>2024 11 (Nov)</v>
      </c>
      <c r="B370" s="164">
        <v>45609</v>
      </c>
      <c r="C370" s="163" t="str">
        <f t="shared" ref="C370:C371" si="95">CHOOSE(WEEKDAY(B370),"Sunday","Monday","Tuesday","Wednesday","Thursday","Friday","Saturday")</f>
        <v>Wednesday</v>
      </c>
      <c r="D370" s="152" t="s">
        <v>169</v>
      </c>
      <c r="E370" s="153">
        <v>90</v>
      </c>
      <c r="F370" s="152" t="str">
        <f>VLOOKUP(G370,'Expenses Reference'!$A$1:$B$23,2, FALSE)</f>
        <v>Needs</v>
      </c>
      <c r="G370" s="152" t="s">
        <v>213</v>
      </c>
      <c r="H370" s="154"/>
      <c r="I370" s="154"/>
    </row>
    <row r="371" spans="1:9" s="152" customFormat="1" x14ac:dyDescent="0.3">
      <c r="A371" s="167" t="str">
        <f t="shared" si="74"/>
        <v>2024 11 (Nov)</v>
      </c>
      <c r="B371" s="164">
        <v>45609</v>
      </c>
      <c r="C371" s="163" t="str">
        <f t="shared" si="95"/>
        <v>Wednesday</v>
      </c>
      <c r="D371" s="152" t="s">
        <v>67</v>
      </c>
      <c r="E371" s="153">
        <f>236+410</f>
        <v>646</v>
      </c>
      <c r="F371" s="152" t="str">
        <f>VLOOKUP(G371,'Expenses Reference'!$A$1:$B$23,2, FALSE)</f>
        <v>Needs</v>
      </c>
      <c r="G371" s="152" t="s">
        <v>35</v>
      </c>
      <c r="H371" s="154"/>
      <c r="I371" s="154"/>
    </row>
    <row r="372" spans="1:9" s="152" customFormat="1" x14ac:dyDescent="0.3">
      <c r="A372" s="167" t="str">
        <f t="shared" si="74"/>
        <v>2024 11 (Nov)</v>
      </c>
      <c r="B372" s="164">
        <v>45609</v>
      </c>
      <c r="C372" s="163" t="str">
        <f t="shared" ref="C372" si="96">CHOOSE(WEEKDAY(B372),"Sunday","Monday","Tuesday","Wednesday","Thursday","Friday","Saturday")</f>
        <v>Wednesday</v>
      </c>
      <c r="D372" s="152" t="s">
        <v>80</v>
      </c>
      <c r="E372" s="153">
        <v>73</v>
      </c>
      <c r="F372" s="152" t="str">
        <f>VLOOKUP(G372,'Expenses Reference'!$A$1:$B$23,2, FALSE)</f>
        <v>Needs</v>
      </c>
      <c r="G372" s="152" t="s">
        <v>213</v>
      </c>
      <c r="H372" s="154"/>
      <c r="I372" s="154"/>
    </row>
    <row r="373" spans="1:9" s="152" customFormat="1" x14ac:dyDescent="0.3">
      <c r="A373" s="167" t="str">
        <f t="shared" si="74"/>
        <v>2024 11 (Nov)</v>
      </c>
      <c r="B373" s="164">
        <v>45609</v>
      </c>
      <c r="C373" s="163" t="str">
        <f t="shared" ref="C373:C382" si="97">CHOOSE(WEEKDAY(B373),"Sunday","Monday","Tuesday","Wednesday","Thursday","Friday","Saturday")</f>
        <v>Wednesday</v>
      </c>
      <c r="D373" s="152" t="s">
        <v>344</v>
      </c>
      <c r="E373" s="153">
        <v>29</v>
      </c>
      <c r="F373" s="152" t="str">
        <f>VLOOKUP(G373,'Expenses Reference'!$A$1:$B$23,2, FALSE)</f>
        <v>Wants</v>
      </c>
      <c r="G373" s="152" t="s">
        <v>54</v>
      </c>
      <c r="H373" s="154"/>
      <c r="I373" s="154"/>
    </row>
    <row r="374" spans="1:9" x14ac:dyDescent="0.3">
      <c r="A374" s="107" t="str">
        <f t="shared" si="74"/>
        <v>2024 11 (Nov)</v>
      </c>
      <c r="B374" s="165">
        <v>45610</v>
      </c>
      <c r="C374" s="162" t="str">
        <f t="shared" si="97"/>
        <v>Thursday</v>
      </c>
      <c r="D374" t="s">
        <v>169</v>
      </c>
      <c r="E374" s="2">
        <v>84</v>
      </c>
      <c r="F374" t="str">
        <f>VLOOKUP(G374,'Expenses Reference'!$A$1:$B$23,2, FALSE)</f>
        <v>Needs</v>
      </c>
      <c r="G374" t="s">
        <v>213</v>
      </c>
    </row>
    <row r="375" spans="1:9" x14ac:dyDescent="0.3">
      <c r="A375" s="107" t="str">
        <f t="shared" si="74"/>
        <v>2024 11 (Nov)</v>
      </c>
      <c r="B375" s="165">
        <v>45610</v>
      </c>
      <c r="C375" s="162" t="str">
        <f t="shared" si="97"/>
        <v>Thursday</v>
      </c>
      <c r="D375" t="s">
        <v>67</v>
      </c>
      <c r="E375" s="2">
        <f>150+12</f>
        <v>162</v>
      </c>
      <c r="F375" t="str">
        <f>VLOOKUP(G375,'Expenses Reference'!$A$1:$B$23,2, FALSE)</f>
        <v>Needs</v>
      </c>
      <c r="G375" t="s">
        <v>35</v>
      </c>
    </row>
    <row r="376" spans="1:9" x14ac:dyDescent="0.3">
      <c r="A376" s="107" t="str">
        <f t="shared" si="74"/>
        <v>2024 11 (Nov)</v>
      </c>
      <c r="B376" s="165">
        <v>45610</v>
      </c>
      <c r="C376" s="162" t="str">
        <f t="shared" si="97"/>
        <v>Thursday</v>
      </c>
      <c r="D376" t="s">
        <v>80</v>
      </c>
      <c r="E376" s="2">
        <v>48</v>
      </c>
      <c r="F376" t="str">
        <f>VLOOKUP(G376,'Expenses Reference'!$A$1:$B$23,2, FALSE)</f>
        <v>Needs</v>
      </c>
      <c r="G376" t="s">
        <v>213</v>
      </c>
    </row>
    <row r="377" spans="1:9" x14ac:dyDescent="0.3">
      <c r="A377" s="107" t="str">
        <f t="shared" si="74"/>
        <v>2024 11 (Nov)</v>
      </c>
      <c r="B377" s="165">
        <v>45610</v>
      </c>
      <c r="C377" s="162" t="str">
        <f t="shared" si="97"/>
        <v>Thursday</v>
      </c>
      <c r="D377" t="s">
        <v>66</v>
      </c>
      <c r="E377" s="2">
        <v>850</v>
      </c>
      <c r="F377" t="str">
        <f>VLOOKUP(G377,'Expenses Reference'!$A$1:$B$23,2, FALSE)</f>
        <v>Wants</v>
      </c>
      <c r="G377" t="s">
        <v>83</v>
      </c>
    </row>
    <row r="378" spans="1:9" s="152" customFormat="1" x14ac:dyDescent="0.3">
      <c r="A378" s="167" t="str">
        <f t="shared" si="74"/>
        <v>2024 11 (Nov)</v>
      </c>
      <c r="B378" s="164">
        <v>45611</v>
      </c>
      <c r="C378" s="163" t="str">
        <f t="shared" si="97"/>
        <v>Friday</v>
      </c>
      <c r="D378" s="152" t="s">
        <v>169</v>
      </c>
      <c r="E378" s="153">
        <v>74</v>
      </c>
      <c r="F378" s="152" t="str">
        <f>VLOOKUP(G378,'Expenses Reference'!$A$1:$B$23,2, FALSE)</f>
        <v>Needs</v>
      </c>
      <c r="G378" s="152" t="s">
        <v>213</v>
      </c>
      <c r="H378" s="154"/>
      <c r="I378" s="154"/>
    </row>
    <row r="379" spans="1:9" s="152" customFormat="1" x14ac:dyDescent="0.3">
      <c r="A379" s="167" t="str">
        <f t="shared" si="74"/>
        <v>2024 11 (Nov)</v>
      </c>
      <c r="B379" s="164">
        <v>45611</v>
      </c>
      <c r="C379" s="163" t="str">
        <f t="shared" si="97"/>
        <v>Friday</v>
      </c>
      <c r="D379" s="152" t="s">
        <v>67</v>
      </c>
      <c r="E379" s="153">
        <v>174</v>
      </c>
      <c r="F379" s="152" t="str">
        <f>VLOOKUP(G379,'Expenses Reference'!$A$1:$B$23,2, FALSE)</f>
        <v>Needs</v>
      </c>
      <c r="G379" s="152" t="s">
        <v>35</v>
      </c>
      <c r="H379" s="154"/>
      <c r="I379" s="154"/>
    </row>
    <row r="380" spans="1:9" s="152" customFormat="1" x14ac:dyDescent="0.3">
      <c r="A380" s="167" t="str">
        <f t="shared" si="74"/>
        <v>2024 11 (Nov)</v>
      </c>
      <c r="B380" s="164">
        <v>45611</v>
      </c>
      <c r="C380" s="163" t="str">
        <f t="shared" si="97"/>
        <v>Friday</v>
      </c>
      <c r="D380" s="152" t="s">
        <v>80</v>
      </c>
      <c r="E380" s="153">
        <v>70</v>
      </c>
      <c r="F380" s="152" t="str">
        <f>VLOOKUP(G380,'Expenses Reference'!$A$1:$B$23,2, FALSE)</f>
        <v>Needs</v>
      </c>
      <c r="G380" s="152" t="s">
        <v>213</v>
      </c>
      <c r="H380" s="154"/>
      <c r="I380" s="154"/>
    </row>
    <row r="381" spans="1:9" s="152" customFormat="1" x14ac:dyDescent="0.3">
      <c r="A381" s="167" t="str">
        <f t="shared" si="74"/>
        <v>2024 11 (Nov)</v>
      </c>
      <c r="B381" s="164">
        <v>45611</v>
      </c>
      <c r="C381" s="163" t="str">
        <f t="shared" si="97"/>
        <v>Friday</v>
      </c>
      <c r="D381" s="152" t="s">
        <v>66</v>
      </c>
      <c r="E381" s="153">
        <v>495</v>
      </c>
      <c r="F381" s="152" t="str">
        <f>VLOOKUP(G381,'Expenses Reference'!$A$1:$B$23,2, FALSE)</f>
        <v>Wants</v>
      </c>
      <c r="G381" s="152" t="s">
        <v>81</v>
      </c>
      <c r="H381" s="154"/>
      <c r="I381" s="154"/>
    </row>
    <row r="382" spans="1:9" x14ac:dyDescent="0.3">
      <c r="A382" s="107" t="str">
        <f t="shared" si="74"/>
        <v>2024 11 (Nov)</v>
      </c>
      <c r="B382" s="165">
        <v>45612</v>
      </c>
      <c r="C382" s="162" t="str">
        <f t="shared" si="97"/>
        <v>Saturday</v>
      </c>
      <c r="D382" t="s">
        <v>346</v>
      </c>
      <c r="E382">
        <v>67</v>
      </c>
      <c r="F382" t="str">
        <f>VLOOKUP(G382,'Expenses Reference'!$A$1:$B$23,2, FALSE)</f>
        <v>Wants</v>
      </c>
      <c r="G382" t="s">
        <v>84</v>
      </c>
      <c r="H382" s="1" t="s">
        <v>357</v>
      </c>
    </row>
    <row r="383" spans="1:9" x14ac:dyDescent="0.3">
      <c r="A383" s="107" t="str">
        <f t="shared" si="74"/>
        <v>2024 11 (Nov)</v>
      </c>
      <c r="B383" s="165">
        <v>45612</v>
      </c>
      <c r="C383" s="162" t="str">
        <f t="shared" ref="C383:C394" si="98">CHOOSE(WEEKDAY(B383),"Sunday","Monday","Tuesday","Wednesday","Thursday","Friday","Saturday")</f>
        <v>Saturday</v>
      </c>
      <c r="D383" t="s">
        <v>355</v>
      </c>
      <c r="E383">
        <f>390/2</f>
        <v>195</v>
      </c>
      <c r="F383" t="str">
        <f>VLOOKUP(G383,'Expenses Reference'!$A$1:$B$23,2, FALSE)</f>
        <v>Wants</v>
      </c>
      <c r="G383" t="s">
        <v>203</v>
      </c>
      <c r="H383" s="1" t="s">
        <v>357</v>
      </c>
    </row>
    <row r="384" spans="1:9" x14ac:dyDescent="0.3">
      <c r="A384" s="107" t="str">
        <f t="shared" si="74"/>
        <v>2024 11 (Nov)</v>
      </c>
      <c r="B384" s="165">
        <v>45612</v>
      </c>
      <c r="C384" s="162" t="str">
        <f t="shared" si="98"/>
        <v>Saturday</v>
      </c>
      <c r="D384" t="s">
        <v>345</v>
      </c>
      <c r="E384" s="2">
        <v>247</v>
      </c>
      <c r="F384" t="str">
        <f>VLOOKUP(G384,'Expenses Reference'!$A$1:$B$23,2, FALSE)</f>
        <v>Needs</v>
      </c>
      <c r="G384" t="s">
        <v>34</v>
      </c>
    </row>
    <row r="385" spans="1:9" x14ac:dyDescent="0.3">
      <c r="A385" s="107" t="str">
        <f t="shared" si="74"/>
        <v>2024 11 (Nov)</v>
      </c>
      <c r="B385" s="165">
        <v>45612</v>
      </c>
      <c r="C385" s="162" t="str">
        <f t="shared" si="98"/>
        <v>Saturday</v>
      </c>
      <c r="D385" t="s">
        <v>347</v>
      </c>
      <c r="E385" s="2">
        <v>88</v>
      </c>
      <c r="F385" t="str">
        <f>VLOOKUP(G385,'Expenses Reference'!$A$1:$B$23,2, FALSE)</f>
        <v>Wants</v>
      </c>
      <c r="G385" t="s">
        <v>84</v>
      </c>
      <c r="H385" s="1" t="s">
        <v>357</v>
      </c>
    </row>
    <row r="386" spans="1:9" x14ac:dyDescent="0.3">
      <c r="A386" s="107" t="str">
        <f t="shared" si="74"/>
        <v>2024 11 (Nov)</v>
      </c>
      <c r="B386" s="165">
        <v>45612</v>
      </c>
      <c r="C386" s="162" t="str">
        <f t="shared" si="98"/>
        <v>Saturday</v>
      </c>
      <c r="D386" t="s">
        <v>348</v>
      </c>
      <c r="E386" s="2">
        <f>155/2</f>
        <v>77.5</v>
      </c>
      <c r="F386" t="str">
        <f>VLOOKUP(G386,'Expenses Reference'!$A$1:$B$23,2, FALSE)</f>
        <v>Wants</v>
      </c>
      <c r="G386" t="s">
        <v>84</v>
      </c>
    </row>
    <row r="387" spans="1:9" x14ac:dyDescent="0.3">
      <c r="A387" s="107" t="str">
        <f t="shared" ref="A387:A450" si="99">_xlfn.CONCAT(YEAR(B387), " ", CHOOSE(MONTH(B387), "01 (Jan)", "02 (Feb)", "03 (Mar)", "04 (Apr)", "05 (May)", "06 (Jun)", "07 (Jul)", "08 (Aug)", "09 (Sep)", "10 (Oct)", "11 (Nov)", "12 (Dec)"))</f>
        <v>2024 11 (Nov)</v>
      </c>
      <c r="B387" s="165">
        <v>45612</v>
      </c>
      <c r="C387" s="162" t="str">
        <f t="shared" si="98"/>
        <v>Saturday</v>
      </c>
      <c r="D387" t="s">
        <v>349</v>
      </c>
      <c r="E387" s="2">
        <f>132/2</f>
        <v>66</v>
      </c>
      <c r="F387" t="str">
        <f>VLOOKUP(G387,'Expenses Reference'!$A$1:$B$23,2, FALSE)</f>
        <v>Wants</v>
      </c>
      <c r="G387" t="s">
        <v>84</v>
      </c>
    </row>
    <row r="388" spans="1:9" s="152" customFormat="1" x14ac:dyDescent="0.3">
      <c r="A388" s="167" t="str">
        <f t="shared" si="99"/>
        <v>2024 11 (Nov)</v>
      </c>
      <c r="B388" s="164">
        <v>45613</v>
      </c>
      <c r="C388" s="163" t="str">
        <f t="shared" si="98"/>
        <v>Sunday</v>
      </c>
      <c r="D388" s="152" t="s">
        <v>350</v>
      </c>
      <c r="E388" s="153">
        <v>169</v>
      </c>
      <c r="F388" s="152" t="str">
        <f>VLOOKUP(G388,'Expenses Reference'!$A$1:$B$23,2, FALSE)</f>
        <v>Wants</v>
      </c>
      <c r="G388" s="152" t="s">
        <v>288</v>
      </c>
      <c r="H388" s="154"/>
      <c r="I388" s="154" t="s">
        <v>351</v>
      </c>
    </row>
    <row r="389" spans="1:9" s="152" customFormat="1" x14ac:dyDescent="0.3">
      <c r="A389" s="167" t="str">
        <f t="shared" si="99"/>
        <v>2024 11 (Nov)</v>
      </c>
      <c r="B389" s="164">
        <v>45613</v>
      </c>
      <c r="C389" s="163" t="str">
        <f t="shared" si="98"/>
        <v>Sunday</v>
      </c>
      <c r="D389" s="152" t="s">
        <v>66</v>
      </c>
      <c r="E389" s="153">
        <v>468</v>
      </c>
      <c r="F389" s="152" t="str">
        <f>VLOOKUP(G389,'Expenses Reference'!$A$1:$B$23,2, FALSE)</f>
        <v>Needs</v>
      </c>
      <c r="G389" s="152" t="s">
        <v>34</v>
      </c>
      <c r="H389" s="154"/>
      <c r="I389" s="154"/>
    </row>
    <row r="390" spans="1:9" x14ac:dyDescent="0.3">
      <c r="A390" s="107" t="str">
        <f t="shared" si="99"/>
        <v>2024 11 (Nov)</v>
      </c>
      <c r="B390" s="165">
        <v>45614</v>
      </c>
      <c r="C390" s="162" t="str">
        <f t="shared" si="98"/>
        <v>Monday</v>
      </c>
      <c r="D390" t="s">
        <v>65</v>
      </c>
      <c r="E390" s="2">
        <v>539</v>
      </c>
      <c r="F390" t="str">
        <f>VLOOKUP(G390,'Expenses Reference'!$A$1:$B$23,2, FALSE)</f>
        <v>Wants</v>
      </c>
      <c r="G390" t="s">
        <v>81</v>
      </c>
    </row>
    <row r="391" spans="1:9" x14ac:dyDescent="0.3">
      <c r="A391" s="107" t="str">
        <f t="shared" si="99"/>
        <v>2024 11 (Nov)</v>
      </c>
      <c r="B391" s="165">
        <v>45614</v>
      </c>
      <c r="C391" s="162" t="str">
        <f t="shared" si="98"/>
        <v>Monday</v>
      </c>
      <c r="D391" t="s">
        <v>169</v>
      </c>
      <c r="E391" s="2">
        <v>75</v>
      </c>
      <c r="F391" t="str">
        <f>VLOOKUP(G391,'Expenses Reference'!$A$1:$B$23,2, FALSE)</f>
        <v>Needs</v>
      </c>
      <c r="G391" t="s">
        <v>213</v>
      </c>
    </row>
    <row r="392" spans="1:9" x14ac:dyDescent="0.3">
      <c r="A392" s="107" t="str">
        <f t="shared" si="99"/>
        <v>2024 11 (Nov)</v>
      </c>
      <c r="B392" s="165">
        <v>45614</v>
      </c>
      <c r="C392" s="162" t="str">
        <f t="shared" si="98"/>
        <v>Monday</v>
      </c>
      <c r="D392" t="s">
        <v>67</v>
      </c>
      <c r="E392" s="2">
        <v>96</v>
      </c>
      <c r="F392" t="str">
        <f>VLOOKUP(G392,'Expenses Reference'!$A$1:$B$23,2, FALSE)</f>
        <v>Needs</v>
      </c>
      <c r="G392" t="s">
        <v>35</v>
      </c>
    </row>
    <row r="393" spans="1:9" x14ac:dyDescent="0.3">
      <c r="A393" s="107" t="str">
        <f t="shared" si="99"/>
        <v>2024 11 (Nov)</v>
      </c>
      <c r="B393" s="165">
        <v>45614</v>
      </c>
      <c r="C393" s="162" t="str">
        <f t="shared" si="98"/>
        <v>Monday</v>
      </c>
      <c r="D393" t="s">
        <v>80</v>
      </c>
      <c r="E393" s="2">
        <v>66</v>
      </c>
      <c r="F393" t="str">
        <f>VLOOKUP(G393,'Expenses Reference'!$A$1:$B$23,2, FALSE)</f>
        <v>Needs</v>
      </c>
      <c r="G393" t="s">
        <v>213</v>
      </c>
    </row>
    <row r="394" spans="1:9" x14ac:dyDescent="0.3">
      <c r="A394" s="107" t="str">
        <f t="shared" si="99"/>
        <v>2024 11 (Nov)</v>
      </c>
      <c r="B394" s="165">
        <v>45614</v>
      </c>
      <c r="C394" s="162" t="str">
        <f t="shared" si="98"/>
        <v>Monday</v>
      </c>
      <c r="D394" t="s">
        <v>352</v>
      </c>
      <c r="E394" s="2">
        <v>1999</v>
      </c>
      <c r="F394" t="str">
        <f>VLOOKUP(G394,'Expenses Reference'!$A$1:$B$23,2, FALSE)</f>
        <v>Wants</v>
      </c>
      <c r="G394" t="s">
        <v>288</v>
      </c>
    </row>
    <row r="395" spans="1:9" x14ac:dyDescent="0.3">
      <c r="A395" s="107" t="str">
        <f t="shared" si="99"/>
        <v>2024 11 (Nov)</v>
      </c>
      <c r="B395" s="165">
        <v>45614</v>
      </c>
      <c r="C395" s="162" t="str">
        <f t="shared" ref="C395:C400" si="100">CHOOSE(WEEKDAY(B395),"Sunday","Monday","Tuesday","Wednesday","Thursday","Friday","Saturday")</f>
        <v>Monday</v>
      </c>
      <c r="D395" t="s">
        <v>353</v>
      </c>
      <c r="E395" s="2">
        <v>85</v>
      </c>
      <c r="F395" t="str">
        <f>VLOOKUP(G395,'Expenses Reference'!$A$1:$B$23,2, FALSE)</f>
        <v>Wants</v>
      </c>
      <c r="G395" t="s">
        <v>81</v>
      </c>
    </row>
    <row r="396" spans="1:9" x14ac:dyDescent="0.3">
      <c r="A396" s="107" t="str">
        <f t="shared" si="99"/>
        <v>2024 11 (Nov)</v>
      </c>
      <c r="B396" s="165">
        <v>45614</v>
      </c>
      <c r="C396" s="162" t="str">
        <f t="shared" ref="C396" si="101">CHOOSE(WEEKDAY(B396),"Sunday","Monday","Tuesday","Wednesday","Thursday","Friday","Saturday")</f>
        <v>Monday</v>
      </c>
      <c r="D396" t="s">
        <v>354</v>
      </c>
      <c r="E396" s="2">
        <f>245</f>
        <v>245</v>
      </c>
      <c r="F396" t="str">
        <f>VLOOKUP(G396,'Expenses Reference'!$A$1:$B$23,2, FALSE)</f>
        <v>Wants</v>
      </c>
      <c r="G396" t="s">
        <v>203</v>
      </c>
      <c r="H396" s="1" t="s">
        <v>357</v>
      </c>
    </row>
    <row r="397" spans="1:9" x14ac:dyDescent="0.3">
      <c r="A397" s="107" t="str">
        <f t="shared" si="99"/>
        <v>2024 11 (Nov)</v>
      </c>
      <c r="B397" s="165">
        <v>45614</v>
      </c>
      <c r="C397" s="162" t="str">
        <f t="shared" si="100"/>
        <v>Monday</v>
      </c>
      <c r="D397" t="s">
        <v>353</v>
      </c>
      <c r="E397" s="2">
        <f>125</f>
        <v>125</v>
      </c>
      <c r="F397" t="str">
        <f>VLOOKUP(G397,'Expenses Reference'!$A$1:$B$23,2, FALSE)</f>
        <v>Wants</v>
      </c>
      <c r="G397" t="s">
        <v>81</v>
      </c>
    </row>
    <row r="398" spans="1:9" s="152" customFormat="1" x14ac:dyDescent="0.3">
      <c r="A398" s="167" t="str">
        <f t="shared" si="99"/>
        <v>2024 11 (Nov)</v>
      </c>
      <c r="B398" s="164">
        <v>45615</v>
      </c>
      <c r="C398" s="163" t="str">
        <f t="shared" si="100"/>
        <v>Tuesday</v>
      </c>
      <c r="D398" s="152" t="s">
        <v>65</v>
      </c>
      <c r="E398" s="153">
        <v>871</v>
      </c>
      <c r="F398" s="152" t="str">
        <f>VLOOKUP(G398,'Expenses Reference'!$A$1:$B$23,2, FALSE)</f>
        <v>Wants</v>
      </c>
      <c r="G398" s="152" t="s">
        <v>81</v>
      </c>
      <c r="H398" s="154"/>
      <c r="I398" s="154"/>
    </row>
    <row r="399" spans="1:9" s="152" customFormat="1" x14ac:dyDescent="0.3">
      <c r="A399" s="167" t="str">
        <f t="shared" si="99"/>
        <v>2024 11 (Nov)</v>
      </c>
      <c r="B399" s="164">
        <v>45615</v>
      </c>
      <c r="C399" s="163" t="str">
        <f t="shared" si="100"/>
        <v>Tuesday</v>
      </c>
      <c r="D399" s="152" t="s">
        <v>66</v>
      </c>
      <c r="E399" s="153">
        <v>412.13</v>
      </c>
      <c r="F399" s="152" t="str">
        <f>VLOOKUP(G399,'Expenses Reference'!$A$1:$B$23,2, FALSE)</f>
        <v>Wants</v>
      </c>
      <c r="G399" s="152" t="s">
        <v>81</v>
      </c>
      <c r="H399" s="154"/>
      <c r="I399" s="154"/>
    </row>
    <row r="400" spans="1:9" x14ac:dyDescent="0.3">
      <c r="A400" s="107" t="str">
        <f t="shared" si="99"/>
        <v>2024 11 (Nov)</v>
      </c>
      <c r="B400" s="165">
        <v>45616</v>
      </c>
      <c r="C400" s="162" t="str">
        <f t="shared" si="100"/>
        <v>Wednesday</v>
      </c>
      <c r="D400" t="s">
        <v>169</v>
      </c>
      <c r="E400" s="2">
        <v>78</v>
      </c>
      <c r="F400" t="str">
        <f>VLOOKUP(G400,'Expenses Reference'!$A$1:$B$23,2, FALSE)</f>
        <v>Needs</v>
      </c>
      <c r="G400" t="s">
        <v>213</v>
      </c>
    </row>
    <row r="401" spans="1:9" x14ac:dyDescent="0.3">
      <c r="A401" s="107" t="str">
        <f t="shared" si="99"/>
        <v>2024 11 (Nov)</v>
      </c>
      <c r="B401" s="165">
        <v>45616</v>
      </c>
      <c r="C401" s="162" t="str">
        <f t="shared" ref="C401:C410" si="102">CHOOSE(WEEKDAY(B401),"Sunday","Monday","Tuesday","Wednesday","Thursday","Friday","Saturday")</f>
        <v>Wednesday</v>
      </c>
      <c r="D401" t="s">
        <v>67</v>
      </c>
      <c r="E401" s="2">
        <v>125</v>
      </c>
      <c r="F401" t="str">
        <f>VLOOKUP(G401,'Expenses Reference'!$A$1:$B$23,2, FALSE)</f>
        <v>Needs</v>
      </c>
      <c r="G401" t="s">
        <v>35</v>
      </c>
    </row>
    <row r="402" spans="1:9" x14ac:dyDescent="0.3">
      <c r="A402" s="107" t="str">
        <f t="shared" si="99"/>
        <v>2024 11 (Nov)</v>
      </c>
      <c r="B402" s="165">
        <v>45616</v>
      </c>
      <c r="C402" s="162" t="str">
        <f t="shared" si="102"/>
        <v>Wednesday</v>
      </c>
      <c r="D402" t="s">
        <v>81</v>
      </c>
      <c r="E402" s="2">
        <v>508</v>
      </c>
      <c r="F402" t="str">
        <f>VLOOKUP(G402,'Expenses Reference'!$A$1:$B$23,2, FALSE)</f>
        <v>Wants</v>
      </c>
      <c r="G402" t="s">
        <v>81</v>
      </c>
    </row>
    <row r="403" spans="1:9" x14ac:dyDescent="0.3">
      <c r="A403" s="107" t="str">
        <f t="shared" si="99"/>
        <v>2024 11 (Nov)</v>
      </c>
      <c r="B403" s="165">
        <v>45616</v>
      </c>
      <c r="C403" s="162" t="str">
        <f t="shared" si="102"/>
        <v>Wednesday</v>
      </c>
      <c r="D403" t="s">
        <v>80</v>
      </c>
      <c r="E403" s="2">
        <v>45</v>
      </c>
      <c r="F403" t="str">
        <f>VLOOKUP(G403,'Expenses Reference'!$A$1:$B$23,2, FALSE)</f>
        <v>Needs</v>
      </c>
      <c r="G403" t="s">
        <v>213</v>
      </c>
    </row>
    <row r="404" spans="1:9" s="152" customFormat="1" x14ac:dyDescent="0.3">
      <c r="A404" s="167" t="str">
        <f t="shared" si="99"/>
        <v>2024 11 (Nov)</v>
      </c>
      <c r="B404" s="164">
        <v>45617</v>
      </c>
      <c r="C404" s="163" t="str">
        <f t="shared" si="102"/>
        <v>Thursday</v>
      </c>
      <c r="D404" s="152" t="s">
        <v>68</v>
      </c>
      <c r="E404" s="153">
        <v>80</v>
      </c>
      <c r="F404" s="152" t="str">
        <f>VLOOKUP(G404,'Expenses Reference'!$A$1:$B$23,2, FALSE)</f>
        <v>Needs</v>
      </c>
      <c r="G404" s="152" t="s">
        <v>213</v>
      </c>
      <c r="H404" s="154"/>
      <c r="I404" s="154"/>
    </row>
    <row r="405" spans="1:9" s="152" customFormat="1" x14ac:dyDescent="0.3">
      <c r="A405" s="167" t="str">
        <f t="shared" si="99"/>
        <v>2024 11 (Nov)</v>
      </c>
      <c r="B405" s="164">
        <v>45617</v>
      </c>
      <c r="C405" s="163" t="str">
        <f t="shared" si="102"/>
        <v>Thursday</v>
      </c>
      <c r="D405" s="152" t="s">
        <v>67</v>
      </c>
      <c r="E405" s="153">
        <v>142</v>
      </c>
      <c r="F405" s="152" t="str">
        <f>VLOOKUP(G405,'Expenses Reference'!$A$1:$B$23,2, FALSE)</f>
        <v>Needs</v>
      </c>
      <c r="G405" s="152" t="s">
        <v>35</v>
      </c>
      <c r="H405" s="154"/>
      <c r="I405" s="154"/>
    </row>
    <row r="406" spans="1:9" x14ac:dyDescent="0.3">
      <c r="A406" s="107" t="str">
        <f t="shared" si="99"/>
        <v>2024 11 (Nov)</v>
      </c>
      <c r="B406" s="165">
        <v>45618</v>
      </c>
      <c r="C406" s="162" t="str">
        <f t="shared" si="102"/>
        <v>Friday</v>
      </c>
      <c r="D406" t="s">
        <v>260</v>
      </c>
      <c r="E406" s="2">
        <v>199</v>
      </c>
      <c r="F406" t="str">
        <f>VLOOKUP(G406,'Expenses Reference'!$A$1:$B$23,2, FALSE)</f>
        <v>Wants</v>
      </c>
      <c r="G406" t="s">
        <v>54</v>
      </c>
    </row>
    <row r="407" spans="1:9" x14ac:dyDescent="0.3">
      <c r="A407" s="107" t="str">
        <f t="shared" si="99"/>
        <v>2024 11 (Nov)</v>
      </c>
      <c r="B407" s="165">
        <v>45618</v>
      </c>
      <c r="C407" s="162" t="str">
        <f t="shared" si="102"/>
        <v>Friday</v>
      </c>
      <c r="D407" t="s">
        <v>125</v>
      </c>
      <c r="E407" s="2">
        <v>74</v>
      </c>
      <c r="F407" t="str">
        <f>VLOOKUP(G407,'Expenses Reference'!$A$1:$B$23,2, FALSE)</f>
        <v>Needs</v>
      </c>
      <c r="G407" t="s">
        <v>213</v>
      </c>
    </row>
    <row r="408" spans="1:9" x14ac:dyDescent="0.3">
      <c r="A408" s="107" t="str">
        <f t="shared" si="99"/>
        <v>2024 11 (Nov)</v>
      </c>
      <c r="B408" s="165">
        <v>45618</v>
      </c>
      <c r="C408" s="162" t="str">
        <f t="shared" si="102"/>
        <v>Friday</v>
      </c>
      <c r="D408" t="s">
        <v>114</v>
      </c>
      <c r="E408" s="2">
        <v>264</v>
      </c>
      <c r="F408" t="str">
        <f>VLOOKUP(G408,'Expenses Reference'!$A$1:$B$23,2, FALSE)</f>
        <v>Wants</v>
      </c>
      <c r="G408" t="s">
        <v>81</v>
      </c>
    </row>
    <row r="409" spans="1:9" x14ac:dyDescent="0.3">
      <c r="A409" s="107" t="str">
        <f t="shared" si="99"/>
        <v>2024 11 (Nov)</v>
      </c>
      <c r="B409" s="165">
        <v>45618</v>
      </c>
      <c r="C409" s="162" t="str">
        <f t="shared" si="102"/>
        <v>Friday</v>
      </c>
      <c r="D409" t="s">
        <v>80</v>
      </c>
      <c r="E409" s="2">
        <v>62</v>
      </c>
      <c r="F409" t="str">
        <f>VLOOKUP(G409,'Expenses Reference'!$A$1:$B$23,2, FALSE)</f>
        <v>Needs</v>
      </c>
      <c r="G409" t="s">
        <v>213</v>
      </c>
    </row>
    <row r="410" spans="1:9" s="152" customFormat="1" x14ac:dyDescent="0.3">
      <c r="A410" s="167" t="str">
        <f t="shared" si="99"/>
        <v>2024 11 (Nov)</v>
      </c>
      <c r="B410" s="164">
        <v>45619</v>
      </c>
      <c r="C410" s="163" t="str">
        <f t="shared" si="102"/>
        <v>Saturday</v>
      </c>
      <c r="D410" s="152" t="s">
        <v>356</v>
      </c>
      <c r="E410" s="153">
        <v>117</v>
      </c>
      <c r="F410" s="152" t="str">
        <f>VLOOKUP(G410,'Expenses Reference'!$A$1:$B$23,2, FALSE)</f>
        <v>Wants</v>
      </c>
      <c r="G410" s="152" t="s">
        <v>84</v>
      </c>
      <c r="H410" s="154" t="s">
        <v>357</v>
      </c>
      <c r="I410" s="154"/>
    </row>
    <row r="411" spans="1:9" s="152" customFormat="1" x14ac:dyDescent="0.3">
      <c r="A411" s="167" t="str">
        <f t="shared" si="99"/>
        <v>2024 11 (Nov)</v>
      </c>
      <c r="B411" s="164">
        <v>45619</v>
      </c>
      <c r="C411" s="163" t="str">
        <f t="shared" ref="C411:C413" si="103">CHOOSE(WEEKDAY(B411),"Sunday","Monday","Tuesday","Wednesday","Thursday","Friday","Saturday")</f>
        <v>Saturday</v>
      </c>
      <c r="D411" s="152" t="s">
        <v>357</v>
      </c>
      <c r="E411" s="153">
        <f>190+100</f>
        <v>290</v>
      </c>
      <c r="F411" s="152" t="str">
        <f>VLOOKUP(G411,'Expenses Reference'!$A$1:$B$23,2, FALSE)</f>
        <v>Wants</v>
      </c>
      <c r="G411" s="152" t="s">
        <v>203</v>
      </c>
      <c r="H411" s="154" t="s">
        <v>357</v>
      </c>
      <c r="I411" s="154"/>
    </row>
    <row r="412" spans="1:9" s="152" customFormat="1" x14ac:dyDescent="0.3">
      <c r="A412" s="167" t="str">
        <f t="shared" si="99"/>
        <v>2024 11 (Nov)</v>
      </c>
      <c r="B412" s="164">
        <v>45619</v>
      </c>
      <c r="C412" s="163" t="str">
        <f t="shared" si="103"/>
        <v>Saturday</v>
      </c>
      <c r="D412" s="152" t="s">
        <v>80</v>
      </c>
      <c r="E412" s="153">
        <v>100</v>
      </c>
      <c r="F412" s="152" t="str">
        <f>VLOOKUP(G412,'Expenses Reference'!$A$1:$B$23,2, FALSE)</f>
        <v>Wants</v>
      </c>
      <c r="G412" s="152" t="s">
        <v>84</v>
      </c>
      <c r="H412" s="154" t="s">
        <v>357</v>
      </c>
      <c r="I412" s="154"/>
    </row>
    <row r="413" spans="1:9" s="152" customFormat="1" x14ac:dyDescent="0.3">
      <c r="A413" s="167" t="str">
        <f t="shared" si="99"/>
        <v>2024 11 (Nov)</v>
      </c>
      <c r="B413" s="164">
        <v>45619</v>
      </c>
      <c r="C413" s="163" t="str">
        <f t="shared" si="103"/>
        <v>Saturday</v>
      </c>
      <c r="D413" s="152" t="s">
        <v>359</v>
      </c>
      <c r="E413" s="153">
        <v>50</v>
      </c>
      <c r="F413" s="152" t="str">
        <f>VLOOKUP(G413,'Expenses Reference'!$A$1:$B$23,2, FALSE)</f>
        <v>Wants</v>
      </c>
      <c r="G413" s="152" t="s">
        <v>84</v>
      </c>
      <c r="H413" s="154" t="s">
        <v>479</v>
      </c>
      <c r="I413" s="154"/>
    </row>
    <row r="414" spans="1:9" s="152" customFormat="1" x14ac:dyDescent="0.3">
      <c r="A414" s="167" t="str">
        <f t="shared" si="99"/>
        <v>2024 11 (Nov)</v>
      </c>
      <c r="B414" s="164">
        <v>45619</v>
      </c>
      <c r="C414" s="163" t="str">
        <f t="shared" ref="C414:C416" si="104">CHOOSE(WEEKDAY(B414),"Sunday","Monday","Tuesday","Wednesday","Thursday","Friday","Saturday")</f>
        <v>Saturday</v>
      </c>
      <c r="D414" s="152" t="s">
        <v>81</v>
      </c>
      <c r="E414" s="153">
        <f>35+20/3</f>
        <v>41.666666666666664</v>
      </c>
      <c r="F414" s="152" t="str">
        <f>VLOOKUP(G414,'Expenses Reference'!$A$1:$B$23,2, FALSE)</f>
        <v>Wants</v>
      </c>
      <c r="G414" s="152" t="s">
        <v>81</v>
      </c>
      <c r="H414" s="154" t="s">
        <v>479</v>
      </c>
      <c r="I414" s="154"/>
    </row>
    <row r="415" spans="1:9" s="152" customFormat="1" x14ac:dyDescent="0.3">
      <c r="A415" s="167" t="str">
        <f t="shared" si="99"/>
        <v>2024 11 (Nov)</v>
      </c>
      <c r="B415" s="164">
        <v>45619</v>
      </c>
      <c r="C415" s="163" t="str">
        <f t="shared" si="104"/>
        <v>Saturday</v>
      </c>
      <c r="D415" s="152" t="s">
        <v>358</v>
      </c>
      <c r="E415" s="153">
        <v>7000</v>
      </c>
      <c r="F415" s="152" t="str">
        <f>VLOOKUP(G415,'Expenses Reference'!$A$1:$B$23,2, FALSE)</f>
        <v>Wants</v>
      </c>
      <c r="G415" s="152" t="s">
        <v>185</v>
      </c>
      <c r="H415" s="154"/>
      <c r="I415" s="154"/>
    </row>
    <row r="416" spans="1:9" s="152" customFormat="1" x14ac:dyDescent="0.3">
      <c r="A416" s="167" t="str">
        <f t="shared" si="99"/>
        <v>2024 11 (Nov)</v>
      </c>
      <c r="B416" s="164">
        <v>45619</v>
      </c>
      <c r="C416" s="163" t="str">
        <f t="shared" si="104"/>
        <v>Saturday</v>
      </c>
      <c r="D416" s="152" t="s">
        <v>80</v>
      </c>
      <c r="E416" s="153">
        <f>152/3</f>
        <v>50.666666666666664</v>
      </c>
      <c r="F416" s="152" t="str">
        <f>VLOOKUP(G416,'Expenses Reference'!$A$1:$B$23,2, FALSE)</f>
        <v>Wants</v>
      </c>
      <c r="G416" s="152" t="s">
        <v>84</v>
      </c>
      <c r="H416" s="154" t="s">
        <v>479</v>
      </c>
      <c r="I416" s="154"/>
    </row>
    <row r="417" spans="1:9" x14ac:dyDescent="0.3">
      <c r="A417" s="107" t="str">
        <f t="shared" si="99"/>
        <v>2024 11 (Nov)</v>
      </c>
      <c r="B417" s="165">
        <v>45620</v>
      </c>
      <c r="C417" s="162" t="str">
        <f t="shared" ref="C417" si="105">CHOOSE(WEEKDAY(B417),"Sunday","Monday","Tuesday","Wednesday","Thursday","Friday","Saturday")</f>
        <v>Sunday</v>
      </c>
      <c r="D417" t="s">
        <v>66</v>
      </c>
      <c r="E417" s="2">
        <f>786+594</f>
        <v>1380</v>
      </c>
      <c r="F417" t="str">
        <f>VLOOKUP(G417,'Expenses Reference'!$A$1:$B$23,2, FALSE)</f>
        <v>Wants</v>
      </c>
      <c r="G417" t="s">
        <v>288</v>
      </c>
    </row>
    <row r="418" spans="1:9" x14ac:dyDescent="0.3">
      <c r="A418" s="107" t="str">
        <f t="shared" si="99"/>
        <v>2024 11 (Nov)</v>
      </c>
      <c r="B418" s="165">
        <v>45620</v>
      </c>
      <c r="C418" s="162" t="str">
        <f t="shared" ref="C418:C420" si="106">CHOOSE(WEEKDAY(B418),"Sunday","Monday","Tuesday","Wednesday","Thursday","Friday","Saturday")</f>
        <v>Sunday</v>
      </c>
      <c r="D418" t="s">
        <v>361</v>
      </c>
      <c r="E418" s="2">
        <f>73+35</f>
        <v>108</v>
      </c>
      <c r="F418" t="str">
        <f>VLOOKUP(G418,'Expenses Reference'!$A$1:$B$23,2, FALSE)</f>
        <v>Wants</v>
      </c>
      <c r="G418" t="s">
        <v>81</v>
      </c>
      <c r="H418" s="1" t="s">
        <v>479</v>
      </c>
    </row>
    <row r="419" spans="1:9" x14ac:dyDescent="0.3">
      <c r="A419" s="107" t="str">
        <f t="shared" si="99"/>
        <v>2024 11 (Nov)</v>
      </c>
      <c r="B419" s="165">
        <v>45620</v>
      </c>
      <c r="C419" s="162" t="str">
        <f t="shared" si="106"/>
        <v>Sunday</v>
      </c>
      <c r="D419" t="s">
        <v>360</v>
      </c>
      <c r="E419" s="2">
        <v>150</v>
      </c>
      <c r="F419" t="str">
        <f>VLOOKUP(G419,'Expenses Reference'!$A$1:$B$23,2, FALSE)</f>
        <v>Needs</v>
      </c>
      <c r="G419" t="s">
        <v>146</v>
      </c>
    </row>
    <row r="420" spans="1:9" s="152" customFormat="1" x14ac:dyDescent="0.3">
      <c r="A420" s="167" t="str">
        <f t="shared" si="99"/>
        <v>2024 11 (Nov)</v>
      </c>
      <c r="B420" s="164">
        <v>45621</v>
      </c>
      <c r="C420" s="163" t="str">
        <f t="shared" si="106"/>
        <v>Monday</v>
      </c>
      <c r="D420" s="152" t="s">
        <v>362</v>
      </c>
      <c r="E420" s="153">
        <v>530</v>
      </c>
      <c r="F420" s="152" t="str">
        <f>VLOOKUP(G420,'Expenses Reference'!$A$1:$B$23,2, FALSE)</f>
        <v>Needs</v>
      </c>
      <c r="G420" s="152" t="s">
        <v>82</v>
      </c>
      <c r="H420" s="154"/>
      <c r="I420" s="154"/>
    </row>
    <row r="421" spans="1:9" s="152" customFormat="1" x14ac:dyDescent="0.3">
      <c r="A421" s="167" t="str">
        <f t="shared" si="99"/>
        <v>2024 11 (Nov)</v>
      </c>
      <c r="B421" s="164">
        <v>45621</v>
      </c>
      <c r="C421" s="163" t="str">
        <f t="shared" ref="C421:C475" si="107">CHOOSE(WEEKDAY(B421),"Sunday","Monday","Tuesday","Wednesday","Thursday","Friday","Saturday")</f>
        <v>Monday</v>
      </c>
      <c r="D421" s="152" t="s">
        <v>363</v>
      </c>
      <c r="E421" s="153">
        <v>77</v>
      </c>
      <c r="F421" s="152" t="str">
        <f>VLOOKUP(G421,'Expenses Reference'!$A$1:$B$23,2, FALSE)</f>
        <v>Needs</v>
      </c>
      <c r="G421" s="152" t="s">
        <v>213</v>
      </c>
      <c r="H421" s="154"/>
      <c r="I421" s="154" t="s">
        <v>364</v>
      </c>
    </row>
    <row r="422" spans="1:9" x14ac:dyDescent="0.3">
      <c r="A422" s="107" t="str">
        <f t="shared" si="99"/>
        <v>2024 11 (Nov)</v>
      </c>
      <c r="B422" s="165">
        <v>45622</v>
      </c>
      <c r="C422" s="162" t="str">
        <f t="shared" si="107"/>
        <v>Tuesday</v>
      </c>
      <c r="D422" t="s">
        <v>114</v>
      </c>
      <c r="E422" s="2">
        <v>232</v>
      </c>
      <c r="F422" t="str">
        <f>VLOOKUP(G422,'Expenses Reference'!$A$1:$B$23,2, FALSE)</f>
        <v>Wants</v>
      </c>
      <c r="G422" t="s">
        <v>81</v>
      </c>
    </row>
    <row r="423" spans="1:9" s="152" customFormat="1" x14ac:dyDescent="0.3">
      <c r="A423" s="167" t="str">
        <f t="shared" si="99"/>
        <v>2024 11 (Nov)</v>
      </c>
      <c r="B423" s="164">
        <v>45623</v>
      </c>
      <c r="C423" s="163" t="str">
        <f t="shared" si="107"/>
        <v>Wednesday</v>
      </c>
      <c r="D423" s="152" t="s">
        <v>169</v>
      </c>
      <c r="E423" s="153">
        <v>80</v>
      </c>
      <c r="F423" s="152" t="str">
        <f>VLOOKUP(G423,'Expenses Reference'!$A$1:$B$23,2, FALSE)</f>
        <v>Needs</v>
      </c>
      <c r="G423" s="152" t="s">
        <v>213</v>
      </c>
      <c r="H423" s="154"/>
      <c r="I423" s="154"/>
    </row>
    <row r="424" spans="1:9" s="152" customFormat="1" x14ac:dyDescent="0.3">
      <c r="A424" s="167" t="str">
        <f t="shared" si="99"/>
        <v>2024 11 (Nov)</v>
      </c>
      <c r="B424" s="164">
        <v>45623</v>
      </c>
      <c r="C424" s="163" t="str">
        <f t="shared" si="107"/>
        <v>Wednesday</v>
      </c>
      <c r="D424" s="152" t="s">
        <v>67</v>
      </c>
      <c r="E424" s="153">
        <v>204</v>
      </c>
      <c r="F424" s="152" t="str">
        <f>VLOOKUP(G424,'Expenses Reference'!$A$1:$B$23,2, FALSE)</f>
        <v>Needs</v>
      </c>
      <c r="G424" s="152" t="s">
        <v>35</v>
      </c>
      <c r="H424" s="154"/>
      <c r="I424" s="154"/>
    </row>
    <row r="425" spans="1:9" s="152" customFormat="1" x14ac:dyDescent="0.3">
      <c r="A425" s="167" t="str">
        <f t="shared" si="99"/>
        <v>2024 11 (Nov)</v>
      </c>
      <c r="B425" s="164">
        <v>45623</v>
      </c>
      <c r="C425" s="163" t="str">
        <f t="shared" si="107"/>
        <v>Wednesday</v>
      </c>
      <c r="D425" s="152" t="s">
        <v>365</v>
      </c>
      <c r="E425" s="153">
        <v>48</v>
      </c>
      <c r="F425" s="152" t="str">
        <f>VLOOKUP(G425,'Expenses Reference'!$A$1:$B$23,2, FALSE)</f>
        <v>Wants</v>
      </c>
      <c r="G425" s="152" t="s">
        <v>84</v>
      </c>
      <c r="H425" s="154"/>
      <c r="I425" s="154" t="s">
        <v>366</v>
      </c>
    </row>
    <row r="426" spans="1:9" s="152" customFormat="1" x14ac:dyDescent="0.3">
      <c r="A426" s="167" t="str">
        <f t="shared" si="99"/>
        <v>2024 11 (Nov)</v>
      </c>
      <c r="B426" s="164">
        <v>45623</v>
      </c>
      <c r="C426" s="163" t="str">
        <f t="shared" si="107"/>
        <v>Wednesday</v>
      </c>
      <c r="D426" s="152" t="s">
        <v>269</v>
      </c>
      <c r="E426" s="153">
        <v>102</v>
      </c>
      <c r="F426" s="152" t="str">
        <f>VLOOKUP(G426,'Expenses Reference'!$A$1:$B$23,2, FALSE)</f>
        <v>Wants</v>
      </c>
      <c r="G426" s="152" t="s">
        <v>84</v>
      </c>
      <c r="H426" s="154"/>
      <c r="I426" s="154"/>
    </row>
    <row r="427" spans="1:9" x14ac:dyDescent="0.3">
      <c r="A427" s="107" t="str">
        <f t="shared" si="99"/>
        <v>2024 11 (Nov)</v>
      </c>
      <c r="B427" s="165">
        <v>45624</v>
      </c>
      <c r="C427" s="162" t="str">
        <f t="shared" si="107"/>
        <v>Thursday</v>
      </c>
      <c r="D427" t="s">
        <v>68</v>
      </c>
      <c r="E427" s="2">
        <v>72</v>
      </c>
      <c r="F427" t="str">
        <f>VLOOKUP(G427,'Expenses Reference'!$A$1:$B$23,2, FALSE)</f>
        <v>Needs</v>
      </c>
      <c r="G427" t="s">
        <v>213</v>
      </c>
    </row>
    <row r="428" spans="1:9" x14ac:dyDescent="0.3">
      <c r="A428" s="107" t="str">
        <f t="shared" si="99"/>
        <v>2024 11 (Nov)</v>
      </c>
      <c r="B428" s="165">
        <v>45624</v>
      </c>
      <c r="C428" s="162" t="str">
        <f t="shared" si="107"/>
        <v>Thursday</v>
      </c>
      <c r="D428" t="s">
        <v>80</v>
      </c>
      <c r="E428" s="2">
        <v>46</v>
      </c>
      <c r="F428" t="str">
        <f>VLOOKUP(G428,'Expenses Reference'!$A$1:$B$23,2, FALSE)</f>
        <v>Needs</v>
      </c>
      <c r="G428" t="s">
        <v>213</v>
      </c>
    </row>
    <row r="429" spans="1:9" s="152" customFormat="1" x14ac:dyDescent="0.3">
      <c r="A429" s="167" t="str">
        <f t="shared" si="99"/>
        <v>2024 11 (Nov)</v>
      </c>
      <c r="B429" s="164">
        <v>45625</v>
      </c>
      <c r="C429" s="163" t="str">
        <f t="shared" si="107"/>
        <v>Friday</v>
      </c>
      <c r="D429" s="152" t="s">
        <v>367</v>
      </c>
      <c r="E429" s="153">
        <v>502</v>
      </c>
      <c r="F429" s="152" t="str">
        <f>VLOOKUP(G429,'Expenses Reference'!$A$1:$B$23,2, FALSE)</f>
        <v>Wants</v>
      </c>
      <c r="G429" s="152" t="s">
        <v>81</v>
      </c>
      <c r="H429" s="154"/>
      <c r="I429" s="154"/>
    </row>
    <row r="430" spans="1:9" x14ac:dyDescent="0.3">
      <c r="A430" s="107" t="str">
        <f t="shared" si="99"/>
        <v>2024 11 (Nov)</v>
      </c>
      <c r="B430" s="165">
        <v>45626</v>
      </c>
      <c r="C430" s="162" t="str">
        <f t="shared" ref="C430" si="108">CHOOSE(WEEKDAY(B430),"Sunday","Monday","Tuesday","Wednesday","Thursday","Friday","Saturday")</f>
        <v>Saturday</v>
      </c>
      <c r="D430" t="s">
        <v>66</v>
      </c>
      <c r="E430" s="2">
        <v>551</v>
      </c>
      <c r="F430" t="str">
        <f>VLOOKUP(G430,'Expenses Reference'!$A$1:$B$23,2, FALSE)</f>
        <v>Wants</v>
      </c>
      <c r="G430" t="s">
        <v>188</v>
      </c>
      <c r="H430" s="1" t="s">
        <v>475</v>
      </c>
    </row>
    <row r="431" spans="1:9" x14ac:dyDescent="0.3">
      <c r="A431" s="107" t="str">
        <f t="shared" si="99"/>
        <v>2024 11 (Nov)</v>
      </c>
      <c r="B431" s="165">
        <v>45626</v>
      </c>
      <c r="C431" s="162" t="str">
        <f t="shared" si="107"/>
        <v>Saturday</v>
      </c>
      <c r="D431" t="s">
        <v>285</v>
      </c>
      <c r="E431" s="2">
        <v>250</v>
      </c>
      <c r="F431" t="str">
        <f>VLOOKUP(G431,'Expenses Reference'!$A$1:$B$23,2, FALSE)</f>
        <v>Wants</v>
      </c>
      <c r="G431" t="s">
        <v>188</v>
      </c>
      <c r="H431" s="1" t="s">
        <v>475</v>
      </c>
    </row>
    <row r="432" spans="1:9" x14ac:dyDescent="0.3">
      <c r="A432" s="107" t="str">
        <f t="shared" si="99"/>
        <v>2024 11 (Nov)</v>
      </c>
      <c r="B432" s="165">
        <v>45626</v>
      </c>
      <c r="C432" s="162" t="str">
        <f t="shared" ref="C432" si="109">CHOOSE(WEEKDAY(B432),"Sunday","Monday","Tuesday","Wednesday","Thursday","Friday","Saturday")</f>
        <v>Saturday</v>
      </c>
      <c r="D432" t="s">
        <v>286</v>
      </c>
      <c r="E432" s="2">
        <v>250</v>
      </c>
      <c r="F432" t="str">
        <f>VLOOKUP(G432,'Expenses Reference'!$A$1:$B$23,2, FALSE)</f>
        <v>Wants</v>
      </c>
      <c r="G432" t="s">
        <v>84</v>
      </c>
      <c r="H432" s="1" t="s">
        <v>475</v>
      </c>
    </row>
    <row r="433" spans="1:9" x14ac:dyDescent="0.3">
      <c r="A433" s="107" t="str">
        <f t="shared" si="99"/>
        <v>2024 11 (Nov)</v>
      </c>
      <c r="B433" s="165">
        <v>45626</v>
      </c>
      <c r="C433" s="162" t="str">
        <f t="shared" si="107"/>
        <v>Saturday</v>
      </c>
      <c r="D433" t="s">
        <v>369</v>
      </c>
      <c r="E433" s="2">
        <v>620</v>
      </c>
      <c r="F433" t="str">
        <f>VLOOKUP(G433,'Expenses Reference'!$A$1:$B$23,2, FALSE)</f>
        <v>Wants</v>
      </c>
      <c r="G433" t="s">
        <v>288</v>
      </c>
      <c r="H433" s="1" t="s">
        <v>475</v>
      </c>
    </row>
    <row r="434" spans="1:9" s="152" customFormat="1" x14ac:dyDescent="0.3">
      <c r="A434" s="167" t="str">
        <f t="shared" si="99"/>
        <v>2024 12 (Dec)</v>
      </c>
      <c r="B434" s="164">
        <v>45627</v>
      </c>
      <c r="C434" s="163" t="str">
        <f t="shared" si="107"/>
        <v>Sunday</v>
      </c>
      <c r="D434" s="152" t="s">
        <v>368</v>
      </c>
      <c r="E434" s="153">
        <v>287</v>
      </c>
      <c r="F434" s="152" t="str">
        <f>VLOOKUP(G434,'Expenses Reference'!$A$1:$B$23,2, FALSE)</f>
        <v>Wants</v>
      </c>
      <c r="G434" s="152" t="s">
        <v>84</v>
      </c>
      <c r="H434" s="154" t="s">
        <v>475</v>
      </c>
      <c r="I434" s="154"/>
    </row>
    <row r="435" spans="1:9" s="152" customFormat="1" x14ac:dyDescent="0.3">
      <c r="A435" s="167" t="str">
        <f t="shared" si="99"/>
        <v>2024 12 (Dec)</v>
      </c>
      <c r="B435" s="164">
        <v>45627</v>
      </c>
      <c r="C435" s="163" t="str">
        <f t="shared" si="107"/>
        <v>Sunday</v>
      </c>
      <c r="D435" s="152" t="s">
        <v>370</v>
      </c>
      <c r="E435" s="153">
        <v>2471</v>
      </c>
      <c r="F435" s="152" t="str">
        <f>VLOOKUP(G435,'Expenses Reference'!$A$1:$B$23,2, FALSE)</f>
        <v>Wants</v>
      </c>
      <c r="G435" s="152" t="s">
        <v>185</v>
      </c>
      <c r="H435" s="154"/>
      <c r="I435" s="154" t="s">
        <v>371</v>
      </c>
    </row>
    <row r="436" spans="1:9" s="152" customFormat="1" x14ac:dyDescent="0.3">
      <c r="A436" s="167" t="str">
        <f t="shared" si="99"/>
        <v>2024 12 (Dec)</v>
      </c>
      <c r="B436" s="164">
        <v>45627</v>
      </c>
      <c r="C436" s="163" t="str">
        <f t="shared" si="107"/>
        <v>Sunday</v>
      </c>
      <c r="D436" s="152" t="s">
        <v>107</v>
      </c>
      <c r="E436" s="153">
        <f>20000+2000/3</f>
        <v>20666.666666666668</v>
      </c>
      <c r="F436" s="152" t="str">
        <f>VLOOKUP(G436,'Expenses Reference'!$A$1:$B$23,2, FALSE)</f>
        <v>Needs</v>
      </c>
      <c r="G436" s="152" t="s">
        <v>30</v>
      </c>
      <c r="H436" s="154"/>
      <c r="I436" s="154"/>
    </row>
    <row r="437" spans="1:9" s="152" customFormat="1" x14ac:dyDescent="0.3">
      <c r="A437" s="167" t="str">
        <f t="shared" si="99"/>
        <v>2024 12 (Dec)</v>
      </c>
      <c r="B437" s="164">
        <v>45627</v>
      </c>
      <c r="C437" s="163" t="str">
        <f t="shared" si="107"/>
        <v>Sunday</v>
      </c>
      <c r="D437" s="152" t="s">
        <v>372</v>
      </c>
      <c r="E437" s="153">
        <f>10666-8943</f>
        <v>1723</v>
      </c>
      <c r="F437" s="152" t="str">
        <f>VLOOKUP(G437,'Expenses Reference'!$A$1:$B$23,2, FALSE)</f>
        <v>Needs</v>
      </c>
      <c r="G437" s="152" t="s">
        <v>34</v>
      </c>
      <c r="H437" s="154"/>
      <c r="I437" s="154"/>
    </row>
    <row r="438" spans="1:9" x14ac:dyDescent="0.3">
      <c r="A438" s="107" t="str">
        <f t="shared" si="99"/>
        <v>2024 12 (Dec)</v>
      </c>
      <c r="B438" s="165">
        <v>45629</v>
      </c>
      <c r="C438" s="162" t="str">
        <f t="shared" si="107"/>
        <v>Tuesday</v>
      </c>
      <c r="D438" t="s">
        <v>217</v>
      </c>
      <c r="E438" s="2">
        <v>15000</v>
      </c>
      <c r="F438" t="str">
        <f>VLOOKUP(G438,'Expenses Reference'!$A$1:$B$23,2, FALSE)</f>
        <v>Investments</v>
      </c>
      <c r="G438" t="s">
        <v>217</v>
      </c>
    </row>
    <row r="439" spans="1:9" s="152" customFormat="1" x14ac:dyDescent="0.3">
      <c r="A439" s="167" t="str">
        <f t="shared" si="99"/>
        <v>2024 12 (Dec)</v>
      </c>
      <c r="B439" s="164">
        <v>45630</v>
      </c>
      <c r="C439" s="163" t="str">
        <f t="shared" si="107"/>
        <v>Wednesday</v>
      </c>
      <c r="D439" s="152" t="s">
        <v>373</v>
      </c>
      <c r="E439" s="153">
        <v>892</v>
      </c>
      <c r="F439" s="152" t="str">
        <f>VLOOKUP(G439,'Expenses Reference'!$A$1:$B$23,2, FALSE)</f>
        <v>Needs</v>
      </c>
      <c r="G439" s="152" t="s">
        <v>34</v>
      </c>
      <c r="H439" s="154" t="s">
        <v>475</v>
      </c>
      <c r="I439" s="154" t="s">
        <v>374</v>
      </c>
    </row>
    <row r="440" spans="1:9" s="152" customFormat="1" x14ac:dyDescent="0.3">
      <c r="A440" s="167" t="str">
        <f t="shared" si="99"/>
        <v>2024 12 (Dec)</v>
      </c>
      <c r="B440" s="164">
        <v>45630</v>
      </c>
      <c r="C440" s="163" t="str">
        <f t="shared" si="107"/>
        <v>Wednesday</v>
      </c>
      <c r="D440" s="152" t="s">
        <v>375</v>
      </c>
      <c r="E440" s="153">
        <v>1480</v>
      </c>
      <c r="F440" s="152" t="str">
        <f>VLOOKUP(G440,'Expenses Reference'!$A$1:$B$23,2, FALSE)</f>
        <v>Wants</v>
      </c>
      <c r="G440" s="152" t="s">
        <v>185</v>
      </c>
      <c r="H440" s="154"/>
      <c r="I440" s="154"/>
    </row>
    <row r="441" spans="1:9" s="152" customFormat="1" x14ac:dyDescent="0.3">
      <c r="A441" s="167" t="str">
        <f t="shared" si="99"/>
        <v>2024 12 (Dec)</v>
      </c>
      <c r="B441" s="164">
        <v>45630</v>
      </c>
      <c r="C441" s="163" t="str">
        <f t="shared" si="107"/>
        <v>Wednesday</v>
      </c>
      <c r="D441" s="152" t="s">
        <v>102</v>
      </c>
      <c r="E441" s="153">
        <v>60</v>
      </c>
      <c r="F441" s="152" t="str">
        <f>VLOOKUP(G441,'Expenses Reference'!$A$1:$B$23,2, FALSE)</f>
        <v>Wants</v>
      </c>
      <c r="G441" s="152" t="s">
        <v>84</v>
      </c>
      <c r="H441" s="154" t="s">
        <v>475</v>
      </c>
      <c r="I441" s="154"/>
    </row>
    <row r="442" spans="1:9" s="152" customFormat="1" x14ac:dyDescent="0.3">
      <c r="A442" s="167" t="str">
        <f t="shared" si="99"/>
        <v>2024 12 (Dec)</v>
      </c>
      <c r="B442" s="164">
        <v>45630</v>
      </c>
      <c r="C442" s="163" t="str">
        <f t="shared" si="107"/>
        <v>Wednesday</v>
      </c>
      <c r="D442" s="152" t="s">
        <v>376</v>
      </c>
      <c r="E442" s="153">
        <v>571</v>
      </c>
      <c r="F442" s="152" t="str">
        <f>VLOOKUP(G442,'Expenses Reference'!$A$1:$B$23,2, FALSE)</f>
        <v>Wants</v>
      </c>
      <c r="G442" s="152" t="s">
        <v>81</v>
      </c>
      <c r="H442" s="154" t="s">
        <v>475</v>
      </c>
      <c r="I442" s="154" t="s">
        <v>377</v>
      </c>
    </row>
    <row r="443" spans="1:9" s="152" customFormat="1" x14ac:dyDescent="0.3">
      <c r="A443" s="167" t="str">
        <f t="shared" si="99"/>
        <v>2024 12 (Dec)</v>
      </c>
      <c r="B443" s="164">
        <v>45630</v>
      </c>
      <c r="C443" s="163" t="str">
        <f t="shared" si="107"/>
        <v>Wednesday</v>
      </c>
      <c r="D443" s="152" t="s">
        <v>125</v>
      </c>
      <c r="E443" s="153">
        <v>67</v>
      </c>
      <c r="F443" s="152" t="str">
        <f>VLOOKUP(G443,'Expenses Reference'!$A$1:$B$23,2, FALSE)</f>
        <v>Wants</v>
      </c>
      <c r="G443" s="152" t="s">
        <v>84</v>
      </c>
      <c r="H443" s="154" t="s">
        <v>475</v>
      </c>
      <c r="I443" s="154"/>
    </row>
    <row r="444" spans="1:9" s="152" customFormat="1" x14ac:dyDescent="0.3">
      <c r="A444" s="167" t="str">
        <f t="shared" si="99"/>
        <v>2024 12 (Dec)</v>
      </c>
      <c r="B444" s="164">
        <v>45630</v>
      </c>
      <c r="C444" s="163" t="str">
        <f t="shared" si="107"/>
        <v>Wednesday</v>
      </c>
      <c r="D444" s="152" t="s">
        <v>102</v>
      </c>
      <c r="E444" s="153">
        <v>60</v>
      </c>
      <c r="F444" s="152" t="str">
        <f>VLOOKUP(G444,'Expenses Reference'!$A$1:$B$23,2, FALSE)</f>
        <v>Wants</v>
      </c>
      <c r="G444" s="152" t="s">
        <v>84</v>
      </c>
      <c r="H444" s="154" t="s">
        <v>475</v>
      </c>
      <c r="I444" s="154"/>
    </row>
    <row r="445" spans="1:9" s="152" customFormat="1" x14ac:dyDescent="0.3">
      <c r="A445" s="167" t="str">
        <f t="shared" si="99"/>
        <v>2024 12 (Dec)</v>
      </c>
      <c r="B445" s="164">
        <v>45630</v>
      </c>
      <c r="C445" s="163" t="str">
        <f t="shared" si="107"/>
        <v>Wednesday</v>
      </c>
      <c r="D445" s="152" t="s">
        <v>378</v>
      </c>
      <c r="E445" s="153">
        <v>824</v>
      </c>
      <c r="F445" s="152" t="str">
        <f>VLOOKUP(G445,'Expenses Reference'!$A$1:$B$23,2, FALSE)</f>
        <v>Wants</v>
      </c>
      <c r="G445" s="152" t="s">
        <v>81</v>
      </c>
      <c r="H445" s="154" t="s">
        <v>475</v>
      </c>
      <c r="I445" s="154" t="s">
        <v>379</v>
      </c>
    </row>
    <row r="446" spans="1:9" x14ac:dyDescent="0.3">
      <c r="A446" s="107" t="str">
        <f t="shared" si="99"/>
        <v>2024 12 (Dec)</v>
      </c>
      <c r="B446" s="165">
        <v>45631</v>
      </c>
      <c r="C446" s="162" t="str">
        <f t="shared" si="107"/>
        <v>Thursday</v>
      </c>
      <c r="D446" t="s">
        <v>102</v>
      </c>
      <c r="E446" s="2">
        <v>200</v>
      </c>
      <c r="F446" t="str">
        <f>VLOOKUP(G446,'Expenses Reference'!$A$1:$B$23,2, FALSE)</f>
        <v>Wants</v>
      </c>
      <c r="G446" t="s">
        <v>84</v>
      </c>
      <c r="H446" s="1" t="s">
        <v>475</v>
      </c>
    </row>
    <row r="447" spans="1:9" x14ac:dyDescent="0.3">
      <c r="A447" s="107" t="str">
        <f t="shared" si="99"/>
        <v>2024 12 (Dec)</v>
      </c>
      <c r="B447" s="165">
        <v>45631</v>
      </c>
      <c r="C447" s="162" t="str">
        <f t="shared" si="107"/>
        <v>Thursday</v>
      </c>
      <c r="D447" t="s">
        <v>380</v>
      </c>
      <c r="E447" s="2">
        <v>784</v>
      </c>
      <c r="F447" t="str">
        <f>VLOOKUP(G447,'Expenses Reference'!$A$1:$B$23,2, FALSE)</f>
        <v>Wants</v>
      </c>
      <c r="G447" t="s">
        <v>81</v>
      </c>
      <c r="H447" s="1" t="s">
        <v>475</v>
      </c>
      <c r="I447" s="1" t="s">
        <v>381</v>
      </c>
    </row>
    <row r="448" spans="1:9" x14ac:dyDescent="0.3">
      <c r="A448" s="107" t="str">
        <f t="shared" si="99"/>
        <v>2024 12 (Dec)</v>
      </c>
      <c r="B448" s="165">
        <v>45631</v>
      </c>
      <c r="C448" s="162" t="str">
        <f t="shared" si="107"/>
        <v>Thursday</v>
      </c>
      <c r="D448" t="s">
        <v>382</v>
      </c>
      <c r="E448" s="2">
        <v>145</v>
      </c>
      <c r="F448" t="str">
        <f>VLOOKUP(G448,'Expenses Reference'!$A$1:$B$23,2, FALSE)</f>
        <v>Wants</v>
      </c>
      <c r="G448" t="s">
        <v>81</v>
      </c>
      <c r="H448" s="1" t="s">
        <v>475</v>
      </c>
    </row>
    <row r="449" spans="1:9" x14ac:dyDescent="0.3">
      <c r="A449" s="107" t="str">
        <f t="shared" si="99"/>
        <v>2024 12 (Dec)</v>
      </c>
      <c r="B449" s="165">
        <v>45631</v>
      </c>
      <c r="C449" s="162" t="str">
        <f t="shared" si="107"/>
        <v>Thursday</v>
      </c>
      <c r="D449" t="s">
        <v>383</v>
      </c>
      <c r="E449" s="2">
        <v>200</v>
      </c>
      <c r="F449" t="str">
        <f>VLOOKUP(G449,'Expenses Reference'!$A$1:$B$23,2, FALSE)</f>
        <v>Wants</v>
      </c>
      <c r="G449" t="s">
        <v>81</v>
      </c>
      <c r="H449" s="1" t="s">
        <v>475</v>
      </c>
    </row>
    <row r="450" spans="1:9" x14ac:dyDescent="0.3">
      <c r="A450" s="107" t="str">
        <f t="shared" si="99"/>
        <v>2024 12 (Dec)</v>
      </c>
      <c r="B450" s="165">
        <v>45631</v>
      </c>
      <c r="C450" s="162" t="str">
        <f t="shared" si="107"/>
        <v>Thursday</v>
      </c>
      <c r="D450" t="s">
        <v>385</v>
      </c>
      <c r="E450" s="2">
        <v>750</v>
      </c>
      <c r="F450" t="str">
        <f>VLOOKUP(G450,'Expenses Reference'!$A$1:$B$23,2, FALSE)</f>
        <v>Wants</v>
      </c>
      <c r="G450" t="s">
        <v>288</v>
      </c>
      <c r="H450" s="1" t="s">
        <v>475</v>
      </c>
      <c r="I450" s="1" t="s">
        <v>384</v>
      </c>
    </row>
    <row r="451" spans="1:9" x14ac:dyDescent="0.3">
      <c r="A451" s="107" t="str">
        <f t="shared" ref="A451:A514" si="110">_xlfn.CONCAT(YEAR(B451), " ", CHOOSE(MONTH(B451), "01 (Jan)", "02 (Feb)", "03 (Mar)", "04 (Apr)", "05 (May)", "06 (Jun)", "07 (Jul)", "08 (Aug)", "09 (Sep)", "10 (Oct)", "11 (Nov)", "12 (Dec)"))</f>
        <v>2024 12 (Dec)</v>
      </c>
      <c r="B451" s="165">
        <v>45631</v>
      </c>
      <c r="C451" s="162" t="str">
        <f t="shared" si="107"/>
        <v>Thursday</v>
      </c>
      <c r="D451" t="s">
        <v>386</v>
      </c>
      <c r="E451" s="2">
        <v>30</v>
      </c>
      <c r="F451" t="str">
        <f>VLOOKUP(G451,'Expenses Reference'!$A$1:$B$23,2, FALSE)</f>
        <v>Wants</v>
      </c>
      <c r="G451" t="s">
        <v>81</v>
      </c>
      <c r="H451" s="1" t="s">
        <v>475</v>
      </c>
      <c r="I451" s="1" t="s">
        <v>387</v>
      </c>
    </row>
    <row r="452" spans="1:9" x14ac:dyDescent="0.3">
      <c r="A452" s="107" t="str">
        <f t="shared" si="110"/>
        <v>2024 12 (Dec)</v>
      </c>
      <c r="B452" s="165">
        <v>45631</v>
      </c>
      <c r="C452" s="162" t="str">
        <f t="shared" si="107"/>
        <v>Thursday</v>
      </c>
      <c r="D452" t="s">
        <v>388</v>
      </c>
      <c r="E452" s="2">
        <v>649</v>
      </c>
      <c r="F452" t="str">
        <f>VLOOKUP(G452,'Expenses Reference'!$A$1:$B$23,2, FALSE)</f>
        <v>Wants</v>
      </c>
      <c r="G452" t="s">
        <v>81</v>
      </c>
      <c r="H452" s="1" t="s">
        <v>475</v>
      </c>
      <c r="I452" s="1" t="s">
        <v>389</v>
      </c>
    </row>
    <row r="453" spans="1:9" x14ac:dyDescent="0.3">
      <c r="A453" s="107" t="str">
        <f t="shared" si="110"/>
        <v>2024 12 (Dec)</v>
      </c>
      <c r="B453" s="165">
        <v>45631</v>
      </c>
      <c r="C453" s="162" t="str">
        <f t="shared" si="107"/>
        <v>Thursday</v>
      </c>
      <c r="D453" t="s">
        <v>388</v>
      </c>
      <c r="E453" s="2">
        <v>295</v>
      </c>
      <c r="F453" t="str">
        <f>VLOOKUP(G453,'Expenses Reference'!$A$1:$B$23,2, FALSE)</f>
        <v>Wants</v>
      </c>
      <c r="G453" t="s">
        <v>81</v>
      </c>
      <c r="H453" s="1" t="s">
        <v>475</v>
      </c>
      <c r="I453" s="1" t="s">
        <v>390</v>
      </c>
    </row>
    <row r="454" spans="1:9" x14ac:dyDescent="0.3">
      <c r="A454" s="107" t="str">
        <f t="shared" si="110"/>
        <v>2024 12 (Dec)</v>
      </c>
      <c r="B454" s="165">
        <v>45631</v>
      </c>
      <c r="C454" s="162" t="str">
        <f t="shared" si="107"/>
        <v>Thursday</v>
      </c>
      <c r="D454" t="s">
        <v>102</v>
      </c>
      <c r="E454" s="2">
        <v>70</v>
      </c>
      <c r="F454" t="str">
        <f>VLOOKUP(G454,'Expenses Reference'!$A$1:$B$23,2, FALSE)</f>
        <v>Wants</v>
      </c>
      <c r="G454" t="s">
        <v>84</v>
      </c>
      <c r="H454" s="1" t="s">
        <v>475</v>
      </c>
    </row>
    <row r="455" spans="1:9" x14ac:dyDescent="0.3">
      <c r="A455" s="107" t="str">
        <f t="shared" si="110"/>
        <v>2024 12 (Dec)</v>
      </c>
      <c r="B455" s="165">
        <v>45631</v>
      </c>
      <c r="C455" s="162" t="str">
        <f t="shared" si="107"/>
        <v>Thursday</v>
      </c>
      <c r="D455" t="s">
        <v>391</v>
      </c>
      <c r="E455" s="2">
        <v>280</v>
      </c>
      <c r="F455" t="str">
        <f>VLOOKUP(G455,'Expenses Reference'!$A$1:$B$23,2, FALSE)</f>
        <v>Needs</v>
      </c>
      <c r="G455" t="s">
        <v>34</v>
      </c>
      <c r="H455" s="1" t="s">
        <v>475</v>
      </c>
    </row>
    <row r="456" spans="1:9" s="152" customFormat="1" x14ac:dyDescent="0.3">
      <c r="A456" s="167" t="str">
        <f t="shared" si="110"/>
        <v>2024 12 (Dec)</v>
      </c>
      <c r="B456" s="164">
        <v>45632</v>
      </c>
      <c r="C456" s="163" t="str">
        <f t="shared" si="107"/>
        <v>Friday</v>
      </c>
      <c r="D456" s="152" t="s">
        <v>102</v>
      </c>
      <c r="E456" s="153">
        <v>70</v>
      </c>
      <c r="F456" s="152" t="str">
        <f>VLOOKUP(G456,'Expenses Reference'!$A$1:$B$23,2, FALSE)</f>
        <v>Wants</v>
      </c>
      <c r="G456" s="152" t="s">
        <v>84</v>
      </c>
      <c r="H456" s="154" t="s">
        <v>475</v>
      </c>
      <c r="I456" s="154"/>
    </row>
    <row r="457" spans="1:9" s="152" customFormat="1" x14ac:dyDescent="0.3">
      <c r="A457" s="167" t="str">
        <f t="shared" si="110"/>
        <v>2024 12 (Dec)</v>
      </c>
      <c r="B457" s="164">
        <v>45632</v>
      </c>
      <c r="C457" s="163" t="str">
        <f t="shared" si="107"/>
        <v>Friday</v>
      </c>
      <c r="D457" s="152" t="s">
        <v>102</v>
      </c>
      <c r="E457" s="153">
        <v>70</v>
      </c>
      <c r="F457" s="152" t="str">
        <f>VLOOKUP(G457,'Expenses Reference'!$A$1:$B$23,2, FALSE)</f>
        <v>Wants</v>
      </c>
      <c r="G457" s="152" t="s">
        <v>84</v>
      </c>
      <c r="H457" s="154" t="s">
        <v>475</v>
      </c>
      <c r="I457" s="154"/>
    </row>
    <row r="458" spans="1:9" s="152" customFormat="1" x14ac:dyDescent="0.3">
      <c r="A458" s="167" t="str">
        <f t="shared" si="110"/>
        <v>2024 12 (Dec)</v>
      </c>
      <c r="B458" s="164">
        <v>45632</v>
      </c>
      <c r="C458" s="163" t="str">
        <f t="shared" si="107"/>
        <v>Friday</v>
      </c>
      <c r="D458" s="152" t="s">
        <v>350</v>
      </c>
      <c r="E458" s="153">
        <v>169</v>
      </c>
      <c r="F458" s="152" t="str">
        <f>VLOOKUP(G458,'Expenses Reference'!$A$1:$B$23,2, FALSE)</f>
        <v>Wants</v>
      </c>
      <c r="G458" s="152" t="s">
        <v>288</v>
      </c>
      <c r="H458" s="154"/>
      <c r="I458" s="154" t="s">
        <v>428</v>
      </c>
    </row>
    <row r="459" spans="1:9" s="152" customFormat="1" x14ac:dyDescent="0.3">
      <c r="A459" s="167" t="str">
        <f t="shared" si="110"/>
        <v>2024 12 (Dec)</v>
      </c>
      <c r="B459" s="164">
        <v>45632</v>
      </c>
      <c r="C459" s="163" t="str">
        <f t="shared" si="107"/>
        <v>Friday</v>
      </c>
      <c r="D459" s="152" t="s">
        <v>125</v>
      </c>
      <c r="E459" s="153">
        <v>84</v>
      </c>
      <c r="F459" s="152" t="str">
        <f>VLOOKUP(G459,'Expenses Reference'!$A$1:$B$23,2, FALSE)</f>
        <v>Wants</v>
      </c>
      <c r="G459" s="152" t="s">
        <v>84</v>
      </c>
      <c r="H459" s="154" t="s">
        <v>475</v>
      </c>
      <c r="I459" s="154"/>
    </row>
    <row r="460" spans="1:9" s="152" customFormat="1" x14ac:dyDescent="0.3">
      <c r="A460" s="167" t="str">
        <f t="shared" si="110"/>
        <v>2024 12 (Dec)</v>
      </c>
      <c r="B460" s="164">
        <v>45632</v>
      </c>
      <c r="C460" s="163" t="str">
        <f t="shared" si="107"/>
        <v>Friday</v>
      </c>
      <c r="D460" s="152" t="s">
        <v>393</v>
      </c>
      <c r="E460" s="153">
        <v>85</v>
      </c>
      <c r="F460" s="152" t="str">
        <f>VLOOKUP(G460,'Expenses Reference'!$A$1:$B$23,2, FALSE)</f>
        <v>Wants</v>
      </c>
      <c r="G460" s="152" t="s">
        <v>81</v>
      </c>
      <c r="H460" s="154" t="s">
        <v>475</v>
      </c>
      <c r="I460" s="154"/>
    </row>
    <row r="461" spans="1:9" s="152" customFormat="1" x14ac:dyDescent="0.3">
      <c r="A461" s="167" t="str">
        <f t="shared" si="110"/>
        <v>2024 12 (Dec)</v>
      </c>
      <c r="B461" s="164">
        <v>45632</v>
      </c>
      <c r="C461" s="163" t="str">
        <f t="shared" si="107"/>
        <v>Friday</v>
      </c>
      <c r="D461" s="152" t="s">
        <v>430</v>
      </c>
      <c r="E461" s="153">
        <v>140</v>
      </c>
      <c r="F461" s="152" t="str">
        <f>VLOOKUP(G461,'Expenses Reference'!$A$1:$B$23,2, FALSE)</f>
        <v>Wants</v>
      </c>
      <c r="G461" s="152" t="s">
        <v>81</v>
      </c>
      <c r="H461" s="154" t="s">
        <v>475</v>
      </c>
      <c r="I461" s="154"/>
    </row>
    <row r="462" spans="1:9" s="152" customFormat="1" x14ac:dyDescent="0.3">
      <c r="A462" s="167" t="str">
        <f t="shared" si="110"/>
        <v>2024 12 (Dec)</v>
      </c>
      <c r="B462" s="164">
        <v>45632</v>
      </c>
      <c r="C462" s="163" t="str">
        <f t="shared" si="107"/>
        <v>Friday</v>
      </c>
      <c r="D462" s="152" t="s">
        <v>395</v>
      </c>
      <c r="E462" s="153">
        <v>55</v>
      </c>
      <c r="F462" s="152" t="str">
        <f>VLOOKUP(G462,'Expenses Reference'!$A$1:$B$23,2, FALSE)</f>
        <v>Wants</v>
      </c>
      <c r="G462" s="152" t="s">
        <v>81</v>
      </c>
      <c r="H462" s="154" t="s">
        <v>475</v>
      </c>
      <c r="I462" s="154"/>
    </row>
    <row r="463" spans="1:9" s="152" customFormat="1" x14ac:dyDescent="0.3">
      <c r="A463" s="167" t="str">
        <f t="shared" si="110"/>
        <v>2024 12 (Dec)</v>
      </c>
      <c r="B463" s="164">
        <v>45632</v>
      </c>
      <c r="C463" s="163" t="str">
        <f t="shared" si="107"/>
        <v>Friday</v>
      </c>
      <c r="D463" s="152" t="s">
        <v>392</v>
      </c>
      <c r="E463" s="153">
        <v>150</v>
      </c>
      <c r="F463" s="152" t="str">
        <f>VLOOKUP(G463,'Expenses Reference'!$A$1:$B$23,2, FALSE)</f>
        <v>Wants</v>
      </c>
      <c r="G463" s="152" t="s">
        <v>81</v>
      </c>
      <c r="H463" s="154" t="s">
        <v>475</v>
      </c>
      <c r="I463" s="154"/>
    </row>
    <row r="464" spans="1:9" s="152" customFormat="1" x14ac:dyDescent="0.3">
      <c r="A464" s="167" t="str">
        <f t="shared" si="110"/>
        <v>2024 12 (Dec)</v>
      </c>
      <c r="B464" s="164">
        <v>45632</v>
      </c>
      <c r="C464" s="163" t="str">
        <f t="shared" si="107"/>
        <v>Friday</v>
      </c>
      <c r="D464" s="152" t="s">
        <v>394</v>
      </c>
      <c r="E464" s="153">
        <v>77.5</v>
      </c>
      <c r="F464" s="152" t="str">
        <f>VLOOKUP(G464,'Expenses Reference'!$A$1:$B$23,2, FALSE)</f>
        <v>Wants</v>
      </c>
      <c r="G464" s="152" t="s">
        <v>81</v>
      </c>
      <c r="H464" s="154" t="s">
        <v>475</v>
      </c>
      <c r="I464" s="154"/>
    </row>
    <row r="465" spans="1:9" s="152" customFormat="1" x14ac:dyDescent="0.3">
      <c r="A465" s="167" t="str">
        <f t="shared" si="110"/>
        <v>2024 12 (Dec)</v>
      </c>
      <c r="B465" s="164">
        <v>45632</v>
      </c>
      <c r="C465" s="163" t="str">
        <f t="shared" si="107"/>
        <v>Friday</v>
      </c>
      <c r="D465" s="152" t="s">
        <v>396</v>
      </c>
      <c r="E465" s="153">
        <v>60</v>
      </c>
      <c r="F465" s="152" t="str">
        <f>VLOOKUP(G465,'Expenses Reference'!$A$1:$B$23,2, FALSE)</f>
        <v>Wants</v>
      </c>
      <c r="G465" s="152" t="s">
        <v>81</v>
      </c>
      <c r="H465" s="154" t="s">
        <v>475</v>
      </c>
      <c r="I465" s="154"/>
    </row>
    <row r="466" spans="1:9" s="152" customFormat="1" x14ac:dyDescent="0.3">
      <c r="A466" s="167" t="str">
        <f t="shared" si="110"/>
        <v>2024 12 (Dec)</v>
      </c>
      <c r="B466" s="164">
        <v>45632</v>
      </c>
      <c r="C466" s="163" t="str">
        <f t="shared" si="107"/>
        <v>Friday</v>
      </c>
      <c r="D466" s="152" t="s">
        <v>125</v>
      </c>
      <c r="E466" s="153">
        <v>84</v>
      </c>
      <c r="F466" s="152" t="str">
        <f>VLOOKUP(G466,'Expenses Reference'!$A$1:$B$23,2, FALSE)</f>
        <v>Wants</v>
      </c>
      <c r="G466" s="152" t="s">
        <v>84</v>
      </c>
      <c r="H466" s="154" t="s">
        <v>475</v>
      </c>
      <c r="I466" s="154"/>
    </row>
    <row r="467" spans="1:9" x14ac:dyDescent="0.3">
      <c r="A467" s="107" t="str">
        <f t="shared" si="110"/>
        <v>2024 12 (Dec)</v>
      </c>
      <c r="B467" s="165">
        <v>45633</v>
      </c>
      <c r="C467" s="162" t="str">
        <f t="shared" si="107"/>
        <v>Saturday</v>
      </c>
      <c r="D467" t="s">
        <v>397</v>
      </c>
      <c r="E467" s="2">
        <v>500</v>
      </c>
      <c r="F467" t="str">
        <f>VLOOKUP(G467,'Expenses Reference'!$A$1:$B$23,2, FALSE)</f>
        <v>Wants</v>
      </c>
      <c r="G467" t="s">
        <v>188</v>
      </c>
    </row>
    <row r="468" spans="1:9" x14ac:dyDescent="0.3">
      <c r="A468" s="107" t="str">
        <f t="shared" si="110"/>
        <v>2024 12 (Dec)</v>
      </c>
      <c r="B468" s="165">
        <v>45633</v>
      </c>
      <c r="C468" s="162" t="str">
        <f t="shared" si="107"/>
        <v>Saturday</v>
      </c>
      <c r="D468" t="s">
        <v>102</v>
      </c>
      <c r="E468" s="2">
        <v>40</v>
      </c>
      <c r="F468" t="str">
        <f>VLOOKUP(G468,'Expenses Reference'!$A$1:$B$23,2, FALSE)</f>
        <v>Wants</v>
      </c>
      <c r="G468" t="s">
        <v>84</v>
      </c>
      <c r="H468" s="1" t="s">
        <v>475</v>
      </c>
    </row>
    <row r="469" spans="1:9" x14ac:dyDescent="0.3">
      <c r="A469" s="107" t="str">
        <f t="shared" si="110"/>
        <v>2024 12 (Dec)</v>
      </c>
      <c r="B469" s="165">
        <v>45633</v>
      </c>
      <c r="C469" s="162" t="str">
        <f t="shared" si="107"/>
        <v>Saturday</v>
      </c>
      <c r="D469" t="s">
        <v>398</v>
      </c>
      <c r="E469" s="2">
        <v>31.5</v>
      </c>
      <c r="F469" t="str">
        <f>VLOOKUP(G469,'Expenses Reference'!$A$1:$B$23,2, FALSE)</f>
        <v>Wants</v>
      </c>
      <c r="G469" t="s">
        <v>84</v>
      </c>
      <c r="H469" s="1" t="s">
        <v>475</v>
      </c>
    </row>
    <row r="470" spans="1:9" x14ac:dyDescent="0.3">
      <c r="A470" s="107" t="str">
        <f t="shared" si="110"/>
        <v>2024 12 (Dec)</v>
      </c>
      <c r="B470" s="165">
        <v>45633</v>
      </c>
      <c r="C470" s="162" t="str">
        <f t="shared" ref="C470" si="111">CHOOSE(WEEKDAY(B470),"Sunday","Monday","Tuesday","Wednesday","Thursday","Friday","Saturday")</f>
        <v>Saturday</v>
      </c>
      <c r="D470" t="s">
        <v>431</v>
      </c>
      <c r="E470" s="2">
        <v>20</v>
      </c>
      <c r="F470" t="str">
        <f>VLOOKUP(G470,'Expenses Reference'!$A$1:$B$23,2, FALSE)</f>
        <v>Wants</v>
      </c>
      <c r="G470" t="s">
        <v>203</v>
      </c>
      <c r="H470" s="1" t="s">
        <v>475</v>
      </c>
    </row>
    <row r="471" spans="1:9" x14ac:dyDescent="0.3">
      <c r="A471" s="107" t="str">
        <f t="shared" si="110"/>
        <v>2024 12 (Dec)</v>
      </c>
      <c r="B471" s="165">
        <v>45633</v>
      </c>
      <c r="C471" s="162" t="str">
        <f t="shared" si="107"/>
        <v>Saturday</v>
      </c>
      <c r="D471" t="s">
        <v>136</v>
      </c>
      <c r="E471" s="2">
        <v>119</v>
      </c>
      <c r="F471" t="str">
        <f>VLOOKUP(G471,'Expenses Reference'!$A$1:$B$23,2, FALSE)</f>
        <v>Wants</v>
      </c>
      <c r="G471" t="s">
        <v>54</v>
      </c>
      <c r="H471" s="1" t="s">
        <v>475</v>
      </c>
    </row>
    <row r="472" spans="1:9" x14ac:dyDescent="0.3">
      <c r="A472" s="107" t="str">
        <f t="shared" si="110"/>
        <v>2024 12 (Dec)</v>
      </c>
      <c r="B472" s="165">
        <v>45633</v>
      </c>
      <c r="C472" s="162" t="str">
        <f t="shared" si="107"/>
        <v>Saturday</v>
      </c>
      <c r="D472" t="s">
        <v>399</v>
      </c>
      <c r="E472" s="2">
        <v>1509.5</v>
      </c>
      <c r="F472" t="str">
        <f>VLOOKUP(G472,'Expenses Reference'!$A$1:$B$23,2, FALSE)</f>
        <v>Wants</v>
      </c>
      <c r="G472" t="s">
        <v>81</v>
      </c>
      <c r="H472" s="1" t="s">
        <v>475</v>
      </c>
    </row>
    <row r="473" spans="1:9" x14ac:dyDescent="0.3">
      <c r="A473" s="107" t="str">
        <f t="shared" si="110"/>
        <v>2024 12 (Dec)</v>
      </c>
      <c r="B473" s="165">
        <v>45633</v>
      </c>
      <c r="C473" s="162" t="str">
        <f t="shared" si="107"/>
        <v>Saturday</v>
      </c>
      <c r="D473" t="s">
        <v>173</v>
      </c>
      <c r="E473" s="2">
        <v>60</v>
      </c>
      <c r="F473" t="str">
        <f>VLOOKUP(G473,'Expenses Reference'!$A$1:$B$23,2, FALSE)</f>
        <v>Wants</v>
      </c>
      <c r="G473" t="s">
        <v>81</v>
      </c>
      <c r="H473" s="1" t="s">
        <v>475</v>
      </c>
    </row>
    <row r="474" spans="1:9" x14ac:dyDescent="0.3">
      <c r="A474" s="107" t="str">
        <f t="shared" si="110"/>
        <v>2024 12 (Dec)</v>
      </c>
      <c r="B474" s="165">
        <v>45633</v>
      </c>
      <c r="C474" s="162" t="str">
        <f t="shared" si="107"/>
        <v>Saturday</v>
      </c>
      <c r="D474" t="s">
        <v>102</v>
      </c>
      <c r="E474" s="2">
        <v>60</v>
      </c>
      <c r="F474" t="str">
        <f>VLOOKUP(G474,'Expenses Reference'!$A$1:$B$23,2, FALSE)</f>
        <v>Wants</v>
      </c>
      <c r="G474" t="s">
        <v>84</v>
      </c>
      <c r="H474" s="1" t="s">
        <v>475</v>
      </c>
    </row>
    <row r="475" spans="1:9" s="152" customFormat="1" x14ac:dyDescent="0.3">
      <c r="A475" s="167" t="str">
        <f t="shared" si="110"/>
        <v>2024 12 (Dec)</v>
      </c>
      <c r="B475" s="164">
        <v>45634</v>
      </c>
      <c r="C475" s="163" t="str">
        <f t="shared" si="107"/>
        <v>Sunday</v>
      </c>
      <c r="D475" s="152" t="s">
        <v>102</v>
      </c>
      <c r="E475" s="153">
        <v>40</v>
      </c>
      <c r="F475" s="152" t="str">
        <f>VLOOKUP(G475,'Expenses Reference'!$A$1:$B$23,2, FALSE)</f>
        <v>Wants</v>
      </c>
      <c r="G475" s="152" t="s">
        <v>84</v>
      </c>
      <c r="H475" s="154" t="s">
        <v>475</v>
      </c>
      <c r="I475" s="154"/>
    </row>
    <row r="476" spans="1:9" s="152" customFormat="1" x14ac:dyDescent="0.3">
      <c r="A476" s="167" t="str">
        <f t="shared" si="110"/>
        <v>2024 12 (Dec)</v>
      </c>
      <c r="B476" s="164">
        <v>45634</v>
      </c>
      <c r="C476" s="163" t="str">
        <f t="shared" ref="C476:C521" si="112">CHOOSE(WEEKDAY(B476),"Sunday","Monday","Tuesday","Wednesday","Thursday","Friday","Saturday")</f>
        <v>Sunday</v>
      </c>
      <c r="D476" s="152" t="s">
        <v>400</v>
      </c>
      <c r="E476" s="153">
        <v>33</v>
      </c>
      <c r="F476" s="152" t="str">
        <f>VLOOKUP(G476,'Expenses Reference'!$A$1:$B$23,2, FALSE)</f>
        <v>Wants</v>
      </c>
      <c r="G476" s="152" t="s">
        <v>84</v>
      </c>
      <c r="H476" s="154" t="s">
        <v>475</v>
      </c>
      <c r="I476" s="154"/>
    </row>
    <row r="477" spans="1:9" s="152" customFormat="1" x14ac:dyDescent="0.3">
      <c r="A477" s="167" t="str">
        <f t="shared" si="110"/>
        <v>2024 12 (Dec)</v>
      </c>
      <c r="B477" s="164">
        <v>45634</v>
      </c>
      <c r="C477" s="163" t="str">
        <f t="shared" ref="C477" si="113">CHOOSE(WEEKDAY(B477),"Sunday","Monday","Tuesday","Wednesday","Thursday","Friday","Saturday")</f>
        <v>Sunday</v>
      </c>
      <c r="D477" s="152" t="s">
        <v>432</v>
      </c>
      <c r="E477" s="153">
        <v>20</v>
      </c>
      <c r="F477" s="152" t="str">
        <f>VLOOKUP(G477,'Expenses Reference'!$A$1:$B$23,2, FALSE)</f>
        <v>Wants</v>
      </c>
      <c r="G477" s="152" t="s">
        <v>203</v>
      </c>
      <c r="H477" s="154" t="s">
        <v>475</v>
      </c>
      <c r="I477" s="154"/>
    </row>
    <row r="478" spans="1:9" s="152" customFormat="1" x14ac:dyDescent="0.3">
      <c r="A478" s="167" t="str">
        <f t="shared" si="110"/>
        <v>2024 12 (Dec)</v>
      </c>
      <c r="B478" s="164">
        <v>45634</v>
      </c>
      <c r="C478" s="163" t="str">
        <f t="shared" si="112"/>
        <v>Sunday</v>
      </c>
      <c r="D478" s="152" t="s">
        <v>401</v>
      </c>
      <c r="E478" s="153">
        <v>40</v>
      </c>
      <c r="F478" s="152" t="str">
        <f>VLOOKUP(G478,'Expenses Reference'!$A$1:$B$23,2, FALSE)</f>
        <v>Wants</v>
      </c>
      <c r="G478" s="152" t="s">
        <v>81</v>
      </c>
      <c r="H478" s="154" t="s">
        <v>475</v>
      </c>
      <c r="I478" s="154"/>
    </row>
    <row r="479" spans="1:9" s="152" customFormat="1" x14ac:dyDescent="0.3">
      <c r="A479" s="167" t="str">
        <f t="shared" si="110"/>
        <v>2024 12 (Dec)</v>
      </c>
      <c r="B479" s="164">
        <v>45634</v>
      </c>
      <c r="C479" s="163" t="str">
        <f t="shared" si="112"/>
        <v>Sunday</v>
      </c>
      <c r="D479" s="152" t="s">
        <v>125</v>
      </c>
      <c r="E479" s="153">
        <f>150/4</f>
        <v>37.5</v>
      </c>
      <c r="F479" s="152" t="str">
        <f>VLOOKUP(G479,'Expenses Reference'!$A$1:$B$23,2, FALSE)</f>
        <v>Wants</v>
      </c>
      <c r="G479" s="152" t="s">
        <v>84</v>
      </c>
      <c r="H479" s="154" t="s">
        <v>475</v>
      </c>
      <c r="I479" s="154"/>
    </row>
    <row r="480" spans="1:9" s="152" customFormat="1" x14ac:dyDescent="0.3">
      <c r="A480" s="167" t="str">
        <f t="shared" si="110"/>
        <v>2024 12 (Dec)</v>
      </c>
      <c r="B480" s="164">
        <v>45634</v>
      </c>
      <c r="C480" s="163" t="str">
        <f t="shared" si="112"/>
        <v>Sunday</v>
      </c>
      <c r="D480" s="152" t="s">
        <v>402</v>
      </c>
      <c r="E480" s="153">
        <v>885</v>
      </c>
      <c r="F480" s="152" t="str">
        <f>VLOOKUP(G480,'Expenses Reference'!$A$1:$B$23,2, FALSE)</f>
        <v>Wants</v>
      </c>
      <c r="G480" s="152" t="s">
        <v>81</v>
      </c>
      <c r="H480" s="154" t="s">
        <v>475</v>
      </c>
      <c r="I480" s="154"/>
    </row>
    <row r="481" spans="1:9" s="152" customFormat="1" x14ac:dyDescent="0.3">
      <c r="A481" s="167" t="str">
        <f t="shared" si="110"/>
        <v>2024 12 (Dec)</v>
      </c>
      <c r="B481" s="164">
        <v>45634</v>
      </c>
      <c r="C481" s="163" t="str">
        <f t="shared" si="112"/>
        <v>Sunday</v>
      </c>
      <c r="D481" s="152" t="s">
        <v>403</v>
      </c>
      <c r="E481" s="153">
        <v>100</v>
      </c>
      <c r="F481" s="152" t="str">
        <f>VLOOKUP(G481,'Expenses Reference'!$A$1:$B$23,2, FALSE)</f>
        <v>Wants</v>
      </c>
      <c r="G481" s="152" t="s">
        <v>81</v>
      </c>
      <c r="H481" s="154" t="s">
        <v>475</v>
      </c>
      <c r="I481" s="154"/>
    </row>
    <row r="482" spans="1:9" s="152" customFormat="1" x14ac:dyDescent="0.3">
      <c r="A482" s="167" t="str">
        <f t="shared" si="110"/>
        <v>2024 12 (Dec)</v>
      </c>
      <c r="B482" s="164">
        <v>45634</v>
      </c>
      <c r="C482" s="163" t="str">
        <f t="shared" si="112"/>
        <v>Sunday</v>
      </c>
      <c r="D482" s="152" t="s">
        <v>102</v>
      </c>
      <c r="E482" s="153">
        <v>60</v>
      </c>
      <c r="F482" s="152" t="str">
        <f>VLOOKUP(G482,'Expenses Reference'!$A$1:$B$23,2, FALSE)</f>
        <v>Wants</v>
      </c>
      <c r="G482" s="152" t="s">
        <v>84</v>
      </c>
      <c r="H482" s="154" t="s">
        <v>475</v>
      </c>
      <c r="I482" s="154"/>
    </row>
    <row r="483" spans="1:9" s="152" customFormat="1" x14ac:dyDescent="0.3">
      <c r="A483" s="167" t="str">
        <f t="shared" si="110"/>
        <v>2024 12 (Dec)</v>
      </c>
      <c r="B483" s="164">
        <v>45634</v>
      </c>
      <c r="C483" s="163" t="str">
        <f t="shared" si="112"/>
        <v>Sunday</v>
      </c>
      <c r="D483" s="152" t="s">
        <v>404</v>
      </c>
      <c r="E483" s="153">
        <v>31.5</v>
      </c>
      <c r="F483" s="152" t="str">
        <f>VLOOKUP(G483,'Expenses Reference'!$A$1:$B$23,2, FALSE)</f>
        <v>Wants</v>
      </c>
      <c r="G483" s="152" t="s">
        <v>84</v>
      </c>
      <c r="H483" s="154" t="s">
        <v>475</v>
      </c>
      <c r="I483" s="154"/>
    </row>
    <row r="484" spans="1:9" s="152" customFormat="1" x14ac:dyDescent="0.3">
      <c r="A484" s="167" t="str">
        <f t="shared" si="110"/>
        <v>2024 12 (Dec)</v>
      </c>
      <c r="B484" s="164">
        <v>45634</v>
      </c>
      <c r="C484" s="163" t="str">
        <f t="shared" si="112"/>
        <v>Sunday</v>
      </c>
      <c r="D484" s="152" t="s">
        <v>406</v>
      </c>
      <c r="E484" s="153">
        <v>20</v>
      </c>
      <c r="F484" s="152" t="str">
        <f>VLOOKUP(G484,'Expenses Reference'!$A$1:$B$23,2, FALSE)</f>
        <v>Wants</v>
      </c>
      <c r="G484" s="152" t="s">
        <v>81</v>
      </c>
      <c r="H484" s="154" t="s">
        <v>475</v>
      </c>
      <c r="I484" s="154"/>
    </row>
    <row r="485" spans="1:9" s="152" customFormat="1" x14ac:dyDescent="0.3">
      <c r="A485" s="167" t="str">
        <f t="shared" si="110"/>
        <v>2024 12 (Dec)</v>
      </c>
      <c r="B485" s="164">
        <v>45634</v>
      </c>
      <c r="C485" s="163" t="str">
        <f t="shared" si="112"/>
        <v>Sunday</v>
      </c>
      <c r="D485" s="152" t="s">
        <v>405</v>
      </c>
      <c r="E485" s="153">
        <v>400</v>
      </c>
      <c r="F485" s="152" t="str">
        <f>VLOOKUP(G485,'Expenses Reference'!$A$1:$B$23,2, FALSE)</f>
        <v>Wants</v>
      </c>
      <c r="G485" s="152" t="s">
        <v>185</v>
      </c>
      <c r="H485" s="154" t="s">
        <v>475</v>
      </c>
      <c r="I485" s="154"/>
    </row>
    <row r="486" spans="1:9" s="152" customFormat="1" x14ac:dyDescent="0.3">
      <c r="A486" s="167" t="str">
        <f t="shared" si="110"/>
        <v>2024 12 (Dec)</v>
      </c>
      <c r="B486" s="164">
        <v>45634</v>
      </c>
      <c r="C486" s="163" t="str">
        <f t="shared" si="112"/>
        <v>Sunday</v>
      </c>
      <c r="D486" s="152" t="s">
        <v>408</v>
      </c>
      <c r="E486" s="153">
        <v>75</v>
      </c>
      <c r="F486" s="152" t="str">
        <f>VLOOKUP(G486,'Expenses Reference'!$A$1:$B$23,2, FALSE)</f>
        <v>Wants</v>
      </c>
      <c r="G486" s="152" t="s">
        <v>81</v>
      </c>
      <c r="H486" s="154" t="s">
        <v>475</v>
      </c>
      <c r="I486" s="154"/>
    </row>
    <row r="487" spans="1:9" s="152" customFormat="1" x14ac:dyDescent="0.3">
      <c r="A487" s="167" t="str">
        <f t="shared" si="110"/>
        <v>2024 12 (Dec)</v>
      </c>
      <c r="B487" s="164">
        <v>45634</v>
      </c>
      <c r="C487" s="163" t="str">
        <f t="shared" si="112"/>
        <v>Sunday</v>
      </c>
      <c r="D487" s="152" t="s">
        <v>407</v>
      </c>
      <c r="E487" s="153">
        <v>90</v>
      </c>
      <c r="F487" s="152" t="str">
        <f>VLOOKUP(G487,'Expenses Reference'!$A$1:$B$23,2, FALSE)</f>
        <v>Wants</v>
      </c>
      <c r="G487" s="152" t="s">
        <v>84</v>
      </c>
      <c r="H487" s="154" t="s">
        <v>475</v>
      </c>
      <c r="I487" s="154"/>
    </row>
    <row r="488" spans="1:9" s="152" customFormat="1" x14ac:dyDescent="0.3">
      <c r="A488" s="167" t="str">
        <f t="shared" si="110"/>
        <v>2024 12 (Dec)</v>
      </c>
      <c r="B488" s="164">
        <v>45634</v>
      </c>
      <c r="C488" s="163" t="str">
        <f t="shared" si="112"/>
        <v>Sunday</v>
      </c>
      <c r="D488" s="152" t="s">
        <v>433</v>
      </c>
      <c r="E488" s="153">
        <v>343</v>
      </c>
      <c r="F488" s="152" t="str">
        <f>VLOOKUP(G488,'Expenses Reference'!$A$1:$B$23,2, FALSE)</f>
        <v>Wants</v>
      </c>
      <c r="G488" s="152" t="s">
        <v>81</v>
      </c>
      <c r="H488" s="154" t="s">
        <v>475</v>
      </c>
      <c r="I488" s="154"/>
    </row>
    <row r="489" spans="1:9" s="152" customFormat="1" x14ac:dyDescent="0.3">
      <c r="A489" s="167" t="str">
        <f t="shared" si="110"/>
        <v>2024 12 (Dec)</v>
      </c>
      <c r="B489" s="164">
        <v>45634</v>
      </c>
      <c r="C489" s="163" t="str">
        <f t="shared" si="112"/>
        <v>Sunday</v>
      </c>
      <c r="D489" s="152" t="s">
        <v>409</v>
      </c>
      <c r="E489" s="153">
        <v>75</v>
      </c>
      <c r="F489" s="152" t="str">
        <f>VLOOKUP(G489,'Expenses Reference'!$A$1:$B$23,2, FALSE)</f>
        <v>Wants</v>
      </c>
      <c r="G489" s="152" t="s">
        <v>84</v>
      </c>
      <c r="H489" s="154" t="s">
        <v>475</v>
      </c>
      <c r="I489" s="154"/>
    </row>
    <row r="490" spans="1:9" x14ac:dyDescent="0.3">
      <c r="A490" s="107" t="str">
        <f t="shared" si="110"/>
        <v>2024 12 (Dec)</v>
      </c>
      <c r="B490" s="165">
        <v>45635</v>
      </c>
      <c r="C490" s="162" t="str">
        <f t="shared" si="112"/>
        <v>Monday</v>
      </c>
      <c r="D490" t="s">
        <v>410</v>
      </c>
      <c r="E490" s="2">
        <v>103.5</v>
      </c>
      <c r="F490" t="str">
        <f>VLOOKUP(G490,'Expenses Reference'!$A$1:$B$23,2, FALSE)</f>
        <v>Wants</v>
      </c>
      <c r="G490" t="s">
        <v>84</v>
      </c>
      <c r="H490" s="1" t="s">
        <v>475</v>
      </c>
    </row>
    <row r="491" spans="1:9" x14ac:dyDescent="0.3">
      <c r="A491" s="107" t="str">
        <f t="shared" si="110"/>
        <v>2024 12 (Dec)</v>
      </c>
      <c r="B491" s="165">
        <v>45635</v>
      </c>
      <c r="C491" s="162" t="str">
        <f t="shared" si="112"/>
        <v>Monday</v>
      </c>
      <c r="D491" t="s">
        <v>411</v>
      </c>
      <c r="E491" s="2">
        <v>119</v>
      </c>
      <c r="F491" t="str">
        <f>VLOOKUP(G491,'Expenses Reference'!$A$1:$B$23,2, FALSE)</f>
        <v>Wants</v>
      </c>
      <c r="G491" t="s">
        <v>84</v>
      </c>
      <c r="H491" s="1" t="s">
        <v>475</v>
      </c>
    </row>
    <row r="492" spans="1:9" x14ac:dyDescent="0.3">
      <c r="A492" s="107" t="str">
        <f t="shared" si="110"/>
        <v>2024 12 (Dec)</v>
      </c>
      <c r="B492" s="165">
        <v>45635</v>
      </c>
      <c r="C492" s="162" t="str">
        <f t="shared" si="112"/>
        <v>Monday</v>
      </c>
      <c r="D492" t="s">
        <v>412</v>
      </c>
      <c r="E492" s="2">
        <v>501</v>
      </c>
      <c r="F492" t="str">
        <f>VLOOKUP(G492,'Expenses Reference'!$A$1:$B$23,2, FALSE)</f>
        <v>Wants</v>
      </c>
      <c r="G492" t="s">
        <v>84</v>
      </c>
      <c r="H492" s="1" t="s">
        <v>475</v>
      </c>
    </row>
    <row r="493" spans="1:9" x14ac:dyDescent="0.3">
      <c r="A493" s="107" t="str">
        <f t="shared" si="110"/>
        <v>2024 12 (Dec)</v>
      </c>
      <c r="B493" s="165">
        <v>45635</v>
      </c>
      <c r="C493" s="162" t="str">
        <f t="shared" si="112"/>
        <v>Monday</v>
      </c>
      <c r="D493" t="s">
        <v>413</v>
      </c>
      <c r="E493" s="2">
        <v>250</v>
      </c>
      <c r="F493" t="str">
        <f>VLOOKUP(G493,'Expenses Reference'!$A$1:$B$23,2, FALSE)</f>
        <v>Wants</v>
      </c>
      <c r="G493" t="s">
        <v>84</v>
      </c>
      <c r="H493" s="1" t="s">
        <v>475</v>
      </c>
    </row>
    <row r="494" spans="1:9" s="152" customFormat="1" x14ac:dyDescent="0.3">
      <c r="A494" s="167" t="str">
        <f t="shared" si="110"/>
        <v>2024 12 (Dec)</v>
      </c>
      <c r="B494" s="164">
        <v>45636</v>
      </c>
      <c r="C494" s="163" t="str">
        <f t="shared" si="112"/>
        <v>Tuesday</v>
      </c>
      <c r="D494" s="152" t="s">
        <v>414</v>
      </c>
      <c r="E494" s="153">
        <v>604</v>
      </c>
      <c r="F494" s="152" t="str">
        <f>VLOOKUP(G494,'Expenses Reference'!$A$1:$B$23,2, FALSE)</f>
        <v>Wants</v>
      </c>
      <c r="G494" s="152" t="s">
        <v>185</v>
      </c>
      <c r="H494" s="154"/>
      <c r="I494" s="154"/>
    </row>
    <row r="495" spans="1:9" s="152" customFormat="1" x14ac:dyDescent="0.3">
      <c r="A495" s="167" t="str">
        <f t="shared" si="110"/>
        <v>2024 12 (Dec)</v>
      </c>
      <c r="B495" s="164">
        <v>45636</v>
      </c>
      <c r="C495" s="163" t="str">
        <f t="shared" si="112"/>
        <v>Tuesday</v>
      </c>
      <c r="D495" s="152" t="s">
        <v>169</v>
      </c>
      <c r="E495" s="153">
        <v>61</v>
      </c>
      <c r="F495" s="152" t="str">
        <f>VLOOKUP(G495,'Expenses Reference'!$A$1:$B$23,2, FALSE)</f>
        <v>Needs</v>
      </c>
      <c r="G495" s="152" t="s">
        <v>213</v>
      </c>
      <c r="H495" s="154"/>
      <c r="I495" s="154"/>
    </row>
    <row r="496" spans="1:9" s="152" customFormat="1" x14ac:dyDescent="0.3">
      <c r="A496" s="167" t="str">
        <f t="shared" si="110"/>
        <v>2024 12 (Dec)</v>
      </c>
      <c r="B496" s="164">
        <v>45636</v>
      </c>
      <c r="C496" s="163" t="str">
        <f t="shared" si="112"/>
        <v>Tuesday</v>
      </c>
      <c r="D496" s="152" t="s">
        <v>67</v>
      </c>
      <c r="E496" s="153">
        <v>144</v>
      </c>
      <c r="F496" s="152" t="str">
        <f>VLOOKUP(G496,'Expenses Reference'!$A$1:$B$23,2, FALSE)</f>
        <v>Needs</v>
      </c>
      <c r="G496" s="152" t="s">
        <v>35</v>
      </c>
      <c r="H496" s="154"/>
      <c r="I496" s="154"/>
    </row>
    <row r="497" spans="1:9" s="152" customFormat="1" x14ac:dyDescent="0.3">
      <c r="A497" s="167" t="str">
        <f t="shared" si="110"/>
        <v>2024 12 (Dec)</v>
      </c>
      <c r="B497" s="164">
        <v>45636</v>
      </c>
      <c r="C497" s="163" t="str">
        <f t="shared" si="112"/>
        <v>Tuesday</v>
      </c>
      <c r="D497" s="152" t="s">
        <v>425</v>
      </c>
      <c r="E497" s="153">
        <v>16</v>
      </c>
      <c r="F497" s="152" t="str">
        <f>VLOOKUP(G497,'Expenses Reference'!$A$1:$B$23,2, FALSE)</f>
        <v>Wants</v>
      </c>
      <c r="G497" s="152" t="s">
        <v>81</v>
      </c>
      <c r="H497" s="154"/>
      <c r="I497" s="154"/>
    </row>
    <row r="498" spans="1:9" x14ac:dyDescent="0.3">
      <c r="A498" s="107" t="str">
        <f t="shared" si="110"/>
        <v>2024 12 (Dec)</v>
      </c>
      <c r="B498" s="165">
        <v>45637</v>
      </c>
      <c r="C498" s="162" t="str">
        <f t="shared" si="112"/>
        <v>Wednesday</v>
      </c>
      <c r="D498" t="s">
        <v>169</v>
      </c>
      <c r="E498" s="2">
        <v>87</v>
      </c>
      <c r="F498" t="str">
        <f>VLOOKUP(G498,'Expenses Reference'!$A$1:$B$23,2, FALSE)</f>
        <v>Needs</v>
      </c>
      <c r="G498" t="s">
        <v>213</v>
      </c>
    </row>
    <row r="499" spans="1:9" x14ac:dyDescent="0.3">
      <c r="A499" s="107" t="str">
        <f t="shared" si="110"/>
        <v>2024 12 (Dec)</v>
      </c>
      <c r="B499" s="165">
        <v>45637</v>
      </c>
      <c r="C499" s="162" t="str">
        <f t="shared" si="112"/>
        <v>Wednesday</v>
      </c>
      <c r="D499" t="s">
        <v>427</v>
      </c>
      <c r="E499" s="2">
        <v>229</v>
      </c>
      <c r="F499" t="str">
        <f>VLOOKUP(G499,'Expenses Reference'!$A$1:$B$23,2, FALSE)</f>
        <v>Wants</v>
      </c>
      <c r="G499" t="s">
        <v>203</v>
      </c>
      <c r="H499" s="1" t="s">
        <v>501</v>
      </c>
    </row>
    <row r="500" spans="1:9" x14ac:dyDescent="0.3">
      <c r="A500" s="107" t="str">
        <f t="shared" si="110"/>
        <v>2024 12 (Dec)</v>
      </c>
      <c r="B500" s="165">
        <v>45637</v>
      </c>
      <c r="C500" s="162" t="str">
        <f t="shared" si="112"/>
        <v>Wednesday</v>
      </c>
      <c r="D500" t="s">
        <v>67</v>
      </c>
      <c r="E500" s="2">
        <v>375</v>
      </c>
      <c r="F500" t="str">
        <f>VLOOKUP(G500,'Expenses Reference'!$A$1:$B$23,2, FALSE)</f>
        <v>Needs</v>
      </c>
      <c r="G500" t="s">
        <v>35</v>
      </c>
    </row>
    <row r="501" spans="1:9" x14ac:dyDescent="0.3">
      <c r="A501" s="107" t="str">
        <f t="shared" si="110"/>
        <v>2024 12 (Dec)</v>
      </c>
      <c r="B501" s="165">
        <v>45637</v>
      </c>
      <c r="C501" s="162" t="str">
        <f t="shared" si="112"/>
        <v>Wednesday</v>
      </c>
      <c r="D501" t="s">
        <v>426</v>
      </c>
      <c r="E501" s="2">
        <v>74</v>
      </c>
      <c r="F501" t="str">
        <f>VLOOKUP(G501,'Expenses Reference'!$A$1:$B$23,2, FALSE)</f>
        <v>Wants</v>
      </c>
      <c r="G501" t="s">
        <v>81</v>
      </c>
    </row>
    <row r="502" spans="1:9" x14ac:dyDescent="0.3">
      <c r="A502" s="107" t="str">
        <f t="shared" si="110"/>
        <v>2024 12 (Dec)</v>
      </c>
      <c r="B502" s="165">
        <v>45637</v>
      </c>
      <c r="C502" s="162" t="str">
        <f t="shared" si="112"/>
        <v>Wednesday</v>
      </c>
      <c r="D502" t="s">
        <v>425</v>
      </c>
      <c r="E502" s="2">
        <v>16</v>
      </c>
      <c r="F502" t="str">
        <f>VLOOKUP(G502,'Expenses Reference'!$A$1:$B$23,2, FALSE)</f>
        <v>Wants</v>
      </c>
      <c r="G502" t="s">
        <v>81</v>
      </c>
    </row>
    <row r="503" spans="1:9" x14ac:dyDescent="0.3">
      <c r="A503" s="107" t="str">
        <f t="shared" si="110"/>
        <v>2024 12 (Dec)</v>
      </c>
      <c r="B503" s="165">
        <v>45637</v>
      </c>
      <c r="C503" s="162" t="str">
        <f t="shared" si="112"/>
        <v>Wednesday</v>
      </c>
      <c r="D503" t="s">
        <v>66</v>
      </c>
      <c r="E503" s="2">
        <v>719</v>
      </c>
      <c r="F503" t="str">
        <f>VLOOKUP(G503,'Expenses Reference'!$A$1:$B$23,2, FALSE)</f>
        <v>Wants</v>
      </c>
      <c r="G503" t="s">
        <v>81</v>
      </c>
    </row>
    <row r="504" spans="1:9" s="152" customFormat="1" x14ac:dyDescent="0.3">
      <c r="A504" s="167" t="str">
        <f t="shared" si="110"/>
        <v>2024 12 (Dec)</v>
      </c>
      <c r="B504" s="164">
        <v>45638</v>
      </c>
      <c r="C504" s="163" t="str">
        <f t="shared" si="112"/>
        <v>Thursday</v>
      </c>
      <c r="D504" s="152" t="s">
        <v>169</v>
      </c>
      <c r="E504" s="153">
        <v>94</v>
      </c>
      <c r="F504" s="152" t="str">
        <f>VLOOKUP(G504,'Expenses Reference'!$A$1:$B$23,2, FALSE)</f>
        <v>Needs</v>
      </c>
      <c r="G504" s="152" t="s">
        <v>213</v>
      </c>
      <c r="H504" s="154"/>
      <c r="I504" s="154"/>
    </row>
    <row r="505" spans="1:9" s="152" customFormat="1" x14ac:dyDescent="0.3">
      <c r="A505" s="167" t="str">
        <f t="shared" si="110"/>
        <v>2024 12 (Dec)</v>
      </c>
      <c r="B505" s="164">
        <v>45638</v>
      </c>
      <c r="C505" s="163" t="str">
        <f t="shared" si="112"/>
        <v>Thursday</v>
      </c>
      <c r="D505" s="152" t="s">
        <v>411</v>
      </c>
      <c r="E505" s="153">
        <v>37</v>
      </c>
      <c r="F505" s="152" t="str">
        <f>VLOOKUP(G505,'Expenses Reference'!$A$1:$B$23,2, FALSE)</f>
        <v>Needs</v>
      </c>
      <c r="G505" s="152" t="s">
        <v>213</v>
      </c>
      <c r="H505" s="154"/>
      <c r="I505" s="154"/>
    </row>
    <row r="506" spans="1:9" s="152" customFormat="1" x14ac:dyDescent="0.3">
      <c r="A506" s="167" t="str">
        <f t="shared" si="110"/>
        <v>2024 12 (Dec)</v>
      </c>
      <c r="B506" s="164">
        <v>45638</v>
      </c>
      <c r="C506" s="163" t="str">
        <f t="shared" si="112"/>
        <v>Thursday</v>
      </c>
      <c r="D506" s="152" t="s">
        <v>424</v>
      </c>
      <c r="E506" s="153">
        <v>106</v>
      </c>
      <c r="F506" s="152" t="str">
        <f>VLOOKUP(G506,'Expenses Reference'!$A$1:$B$23,2, FALSE)</f>
        <v>Wants</v>
      </c>
      <c r="G506" s="152" t="s">
        <v>84</v>
      </c>
      <c r="H506" s="154" t="s">
        <v>501</v>
      </c>
      <c r="I506" s="154"/>
    </row>
    <row r="507" spans="1:9" x14ac:dyDescent="0.3">
      <c r="A507" s="107" t="str">
        <f t="shared" si="110"/>
        <v>2024 12 (Dec)</v>
      </c>
      <c r="B507" s="165">
        <v>45639</v>
      </c>
      <c r="C507" s="162" t="str">
        <f t="shared" si="112"/>
        <v>Friday</v>
      </c>
      <c r="D507" t="s">
        <v>80</v>
      </c>
      <c r="E507" s="2">
        <v>97</v>
      </c>
      <c r="F507" t="str">
        <f>VLOOKUP(G507,'Expenses Reference'!$A$1:$B$23,2, FALSE)</f>
        <v>Wants</v>
      </c>
      <c r="G507" t="s">
        <v>84</v>
      </c>
      <c r="H507" s="1" t="s">
        <v>501</v>
      </c>
    </row>
    <row r="508" spans="1:9" x14ac:dyDescent="0.3">
      <c r="A508" s="107" t="str">
        <f t="shared" si="110"/>
        <v>2024 12 (Dec)</v>
      </c>
      <c r="B508" s="165">
        <v>45639</v>
      </c>
      <c r="C508" s="162" t="str">
        <f t="shared" si="112"/>
        <v>Friday</v>
      </c>
      <c r="D508" t="s">
        <v>423</v>
      </c>
      <c r="E508" s="2">
        <v>29</v>
      </c>
      <c r="F508" t="str">
        <f>VLOOKUP(G508,'Expenses Reference'!$A$1:$B$23,2, FALSE)</f>
        <v>Wants</v>
      </c>
      <c r="G508" t="s">
        <v>54</v>
      </c>
    </row>
    <row r="509" spans="1:9" x14ac:dyDescent="0.3">
      <c r="A509" s="107" t="str">
        <f t="shared" si="110"/>
        <v>2024 12 (Dec)</v>
      </c>
      <c r="B509" s="165">
        <v>45639</v>
      </c>
      <c r="C509" s="162" t="str">
        <f t="shared" si="112"/>
        <v>Friday</v>
      </c>
      <c r="D509" t="s">
        <v>169</v>
      </c>
      <c r="E509" s="2">
        <v>47</v>
      </c>
      <c r="F509" t="str">
        <f>VLOOKUP(G509,'Expenses Reference'!$A$1:$B$23,2, FALSE)</f>
        <v>Needs</v>
      </c>
      <c r="G509" t="s">
        <v>213</v>
      </c>
    </row>
    <row r="510" spans="1:9" x14ac:dyDescent="0.3">
      <c r="A510" s="107" t="str">
        <f t="shared" si="110"/>
        <v>2024 12 (Dec)</v>
      </c>
      <c r="B510" s="165">
        <v>45639</v>
      </c>
      <c r="C510" s="162" t="str">
        <f t="shared" si="112"/>
        <v>Friday</v>
      </c>
      <c r="D510" t="s">
        <v>67</v>
      </c>
      <c r="E510" s="2">
        <v>445</v>
      </c>
      <c r="F510" t="str">
        <f>VLOOKUP(G510,'Expenses Reference'!$A$1:$B$23,2, FALSE)</f>
        <v>Needs</v>
      </c>
      <c r="G510" t="s">
        <v>35</v>
      </c>
    </row>
    <row r="511" spans="1:9" x14ac:dyDescent="0.3">
      <c r="A511" s="107" t="str">
        <f t="shared" si="110"/>
        <v>2024 12 (Dec)</v>
      </c>
      <c r="B511" s="165">
        <v>45639</v>
      </c>
      <c r="C511" s="162" t="str">
        <f t="shared" si="112"/>
        <v>Friday</v>
      </c>
      <c r="D511" t="s">
        <v>422</v>
      </c>
      <c r="E511" s="2">
        <f>200-115</f>
        <v>85</v>
      </c>
      <c r="F511" t="str">
        <f>VLOOKUP(G511,'Expenses Reference'!$A$1:$B$23,2, FALSE)</f>
        <v>Wants</v>
      </c>
      <c r="G511" t="s">
        <v>81</v>
      </c>
    </row>
    <row r="512" spans="1:9" x14ac:dyDescent="0.3">
      <c r="A512" s="107" t="str">
        <f t="shared" si="110"/>
        <v>2024 12 (Dec)</v>
      </c>
      <c r="B512" s="165">
        <v>45639</v>
      </c>
      <c r="C512" s="162" t="str">
        <f t="shared" si="112"/>
        <v>Friday</v>
      </c>
      <c r="D512" t="s">
        <v>421</v>
      </c>
      <c r="E512" s="2">
        <v>20</v>
      </c>
      <c r="F512" t="str">
        <f>VLOOKUP(G512,'Expenses Reference'!$A$1:$B$23,2, FALSE)</f>
        <v>Wants</v>
      </c>
      <c r="G512" t="s">
        <v>81</v>
      </c>
      <c r="H512" s="1" t="s">
        <v>479</v>
      </c>
    </row>
    <row r="513" spans="1:9" x14ac:dyDescent="0.3">
      <c r="A513" s="107" t="str">
        <f t="shared" si="110"/>
        <v>2024 12 (Dec)</v>
      </c>
      <c r="B513" s="165">
        <v>45639</v>
      </c>
      <c r="C513" s="162" t="str">
        <f t="shared" si="112"/>
        <v>Friday</v>
      </c>
      <c r="D513" t="s">
        <v>420</v>
      </c>
      <c r="E513" s="2">
        <v>20</v>
      </c>
      <c r="F513" t="str">
        <f>VLOOKUP(G513,'Expenses Reference'!$A$1:$B$23,2, FALSE)</f>
        <v>Wants</v>
      </c>
      <c r="G513" t="s">
        <v>81</v>
      </c>
      <c r="H513" s="1" t="s">
        <v>479</v>
      </c>
    </row>
    <row r="514" spans="1:9" s="152" customFormat="1" x14ac:dyDescent="0.3">
      <c r="A514" s="167" t="str">
        <f t="shared" si="110"/>
        <v>2024 12 (Dec)</v>
      </c>
      <c r="B514" s="164">
        <v>45640</v>
      </c>
      <c r="C514" s="163" t="str">
        <f t="shared" si="112"/>
        <v>Saturday</v>
      </c>
      <c r="D514" s="152" t="s">
        <v>392</v>
      </c>
      <c r="E514" s="153">
        <v>620</v>
      </c>
      <c r="F514" s="152" t="str">
        <f>VLOOKUP(G514,'Expenses Reference'!$A$1:$B$23,2, FALSE)</f>
        <v>Wants</v>
      </c>
      <c r="G514" s="152" t="s">
        <v>81</v>
      </c>
      <c r="H514" s="154"/>
      <c r="I514" s="154"/>
    </row>
    <row r="515" spans="1:9" s="152" customFormat="1" x14ac:dyDescent="0.3">
      <c r="A515" s="167" t="str">
        <f t="shared" ref="A515:A578" si="114">_xlfn.CONCAT(YEAR(B515), " ", CHOOSE(MONTH(B515), "01 (Jan)", "02 (Feb)", "03 (Mar)", "04 (Apr)", "05 (May)", "06 (Jun)", "07 (Jul)", "08 (Aug)", "09 (Sep)", "10 (Oct)", "11 (Nov)", "12 (Dec)"))</f>
        <v>2024 12 (Dec)</v>
      </c>
      <c r="B515" s="164">
        <v>45640</v>
      </c>
      <c r="C515" s="163" t="str">
        <f t="shared" si="112"/>
        <v>Saturday</v>
      </c>
      <c r="D515" s="152" t="s">
        <v>419</v>
      </c>
      <c r="E515" s="153">
        <v>90</v>
      </c>
      <c r="F515" s="152" t="str">
        <f>VLOOKUP(G515,'Expenses Reference'!$A$1:$B$23,2, FALSE)</f>
        <v>Wants</v>
      </c>
      <c r="G515" s="152" t="s">
        <v>81</v>
      </c>
      <c r="H515" s="154" t="s">
        <v>501</v>
      </c>
      <c r="I515" s="154"/>
    </row>
    <row r="516" spans="1:9" s="152" customFormat="1" x14ac:dyDescent="0.3">
      <c r="A516" s="167" t="str">
        <f t="shared" si="114"/>
        <v>2024 12 (Dec)</v>
      </c>
      <c r="B516" s="164">
        <v>45640</v>
      </c>
      <c r="C516" s="163" t="str">
        <f t="shared" si="112"/>
        <v>Saturday</v>
      </c>
      <c r="D516" s="152" t="s">
        <v>418</v>
      </c>
      <c r="E516" s="153">
        <v>20000</v>
      </c>
      <c r="F516" s="152" t="str">
        <f>VLOOKUP(G516,'Expenses Reference'!$A$1:$B$23,2, FALSE)</f>
        <v>Investments</v>
      </c>
      <c r="G516" s="152" t="s">
        <v>217</v>
      </c>
      <c r="H516" s="154"/>
      <c r="I516" s="154"/>
    </row>
    <row r="517" spans="1:9" s="152" customFormat="1" x14ac:dyDescent="0.3">
      <c r="A517" s="167" t="str">
        <f t="shared" si="114"/>
        <v>2024 12 (Dec)</v>
      </c>
      <c r="B517" s="164">
        <v>45640</v>
      </c>
      <c r="C517" s="163" t="str">
        <f t="shared" si="112"/>
        <v>Saturday</v>
      </c>
      <c r="D517" s="152" t="s">
        <v>415</v>
      </c>
      <c r="E517" s="153">
        <v>71</v>
      </c>
      <c r="F517" s="152" t="str">
        <f>VLOOKUP(G517,'Expenses Reference'!$A$1:$B$23,2, FALSE)</f>
        <v>Wants</v>
      </c>
      <c r="G517" s="152" t="s">
        <v>84</v>
      </c>
      <c r="H517" s="154"/>
      <c r="I517" s="154"/>
    </row>
    <row r="518" spans="1:9" s="152" customFormat="1" x14ac:dyDescent="0.3">
      <c r="A518" s="167" t="str">
        <f t="shared" si="114"/>
        <v>2024 12 (Dec)</v>
      </c>
      <c r="B518" s="164">
        <v>45640</v>
      </c>
      <c r="C518" s="163" t="str">
        <f t="shared" si="112"/>
        <v>Saturday</v>
      </c>
      <c r="D518" s="152" t="s">
        <v>416</v>
      </c>
      <c r="E518" s="153">
        <v>666</v>
      </c>
      <c r="F518" s="152" t="str">
        <f>VLOOKUP(G518,'Expenses Reference'!$A$1:$B$23,2, FALSE)</f>
        <v>Wants</v>
      </c>
      <c r="G518" s="152" t="s">
        <v>81</v>
      </c>
      <c r="H518" s="154"/>
      <c r="I518" s="154"/>
    </row>
    <row r="519" spans="1:9" s="152" customFormat="1" x14ac:dyDescent="0.3">
      <c r="A519" s="167" t="str">
        <f t="shared" si="114"/>
        <v>2024 12 (Dec)</v>
      </c>
      <c r="B519" s="164">
        <v>45640</v>
      </c>
      <c r="C519" s="163" t="str">
        <f t="shared" si="112"/>
        <v>Saturday</v>
      </c>
      <c r="D519" s="152" t="s">
        <v>417</v>
      </c>
      <c r="E519" s="153">
        <v>137</v>
      </c>
      <c r="F519" s="152" t="str">
        <f>VLOOKUP(G519,'Expenses Reference'!$A$1:$B$23,2, FALSE)</f>
        <v>Wants</v>
      </c>
      <c r="G519" s="152" t="s">
        <v>81</v>
      </c>
      <c r="H519" s="154"/>
      <c r="I519" s="154"/>
    </row>
    <row r="520" spans="1:9" s="152" customFormat="1" x14ac:dyDescent="0.3">
      <c r="A520" s="167" t="str">
        <f t="shared" si="114"/>
        <v>2024 12 (Dec)</v>
      </c>
      <c r="B520" s="164">
        <v>45640</v>
      </c>
      <c r="C520" s="163" t="str">
        <f t="shared" si="112"/>
        <v>Saturday</v>
      </c>
      <c r="D520" s="152" t="s">
        <v>411</v>
      </c>
      <c r="E520" s="153">
        <v>66</v>
      </c>
      <c r="F520" s="152" t="str">
        <f>VLOOKUP(G520,'Expenses Reference'!$A$1:$B$23,2, FALSE)</f>
        <v>Wants</v>
      </c>
      <c r="G520" s="152" t="s">
        <v>84</v>
      </c>
      <c r="H520" s="154"/>
      <c r="I520" s="154"/>
    </row>
    <row r="521" spans="1:9" x14ac:dyDescent="0.3">
      <c r="A521" s="107" t="str">
        <f t="shared" si="114"/>
        <v>2024 12 (Dec)</v>
      </c>
      <c r="B521" s="165">
        <v>45641</v>
      </c>
      <c r="C521" s="162" t="str">
        <f t="shared" si="112"/>
        <v>Sunday</v>
      </c>
      <c r="D521" t="s">
        <v>66</v>
      </c>
      <c r="E521" s="2">
        <v>480</v>
      </c>
      <c r="F521" t="str">
        <f>VLOOKUP(G521,'Expenses Reference'!$A$1:$B$23,2, FALSE)</f>
        <v>Wants</v>
      </c>
      <c r="G521" t="s">
        <v>81</v>
      </c>
    </row>
    <row r="522" spans="1:9" x14ac:dyDescent="0.3">
      <c r="A522" s="107" t="str">
        <f t="shared" si="114"/>
        <v>2024 12 (Dec)</v>
      </c>
      <c r="B522" s="165">
        <v>45641</v>
      </c>
      <c r="C522" s="162" t="str">
        <f t="shared" ref="C522" si="115">CHOOSE(WEEKDAY(B522),"Sunday","Monday","Tuesday","Wednesday","Thursday","Friday","Saturday")</f>
        <v>Sunday</v>
      </c>
      <c r="D522" t="s">
        <v>429</v>
      </c>
      <c r="E522" s="2">
        <v>60000</v>
      </c>
      <c r="F522" t="str">
        <f>VLOOKUP(G522,'Expenses Reference'!$A$1:$B$23,2, FALSE)</f>
        <v>Investments</v>
      </c>
      <c r="G522" t="s">
        <v>93</v>
      </c>
    </row>
    <row r="523" spans="1:9" s="152" customFormat="1" x14ac:dyDescent="0.3">
      <c r="A523" s="167" t="str">
        <f t="shared" si="114"/>
        <v>2024 12 (Dec)</v>
      </c>
      <c r="B523" s="164">
        <v>45642</v>
      </c>
      <c r="C523" s="163" t="str">
        <f t="shared" ref="C523" si="116">CHOOSE(WEEKDAY(B523),"Sunday","Monday","Tuesday","Wednesday","Thursday","Friday","Saturday")</f>
        <v>Monday</v>
      </c>
      <c r="D523" s="152" t="s">
        <v>68</v>
      </c>
      <c r="E523" s="153">
        <v>60</v>
      </c>
      <c r="F523" s="152" t="str">
        <f>VLOOKUP(G523,'Expenses Reference'!$A$1:$B$23,2, FALSE)</f>
        <v>Needs</v>
      </c>
      <c r="G523" s="152" t="s">
        <v>213</v>
      </c>
      <c r="H523" s="154"/>
      <c r="I523" s="154"/>
    </row>
    <row r="524" spans="1:9" s="152" customFormat="1" x14ac:dyDescent="0.3">
      <c r="A524" s="167" t="str">
        <f t="shared" si="114"/>
        <v>2024 12 (Dec)</v>
      </c>
      <c r="B524" s="164">
        <v>45642</v>
      </c>
      <c r="C524" s="163" t="str">
        <f t="shared" ref="C524:C530" si="117">CHOOSE(WEEKDAY(B524),"Sunday","Monday","Tuesday","Wednesday","Thursday","Friday","Saturday")</f>
        <v>Monday</v>
      </c>
      <c r="D524" s="152" t="s">
        <v>67</v>
      </c>
      <c r="E524" s="153">
        <f>90</f>
        <v>90</v>
      </c>
      <c r="F524" s="152" t="str">
        <f>VLOOKUP(G524,'Expenses Reference'!$A$1:$B$23,2, FALSE)</f>
        <v>Needs</v>
      </c>
      <c r="G524" s="152" t="s">
        <v>35</v>
      </c>
      <c r="H524" s="154"/>
      <c r="I524" s="154"/>
    </row>
    <row r="525" spans="1:9" s="152" customFormat="1" x14ac:dyDescent="0.3">
      <c r="A525" s="167" t="str">
        <f t="shared" si="114"/>
        <v>2024 12 (Dec)</v>
      </c>
      <c r="B525" s="164">
        <v>45642</v>
      </c>
      <c r="C525" s="163" t="str">
        <f t="shared" si="117"/>
        <v>Monday</v>
      </c>
      <c r="D525" s="152" t="s">
        <v>80</v>
      </c>
      <c r="E525" s="153">
        <v>70</v>
      </c>
      <c r="F525" s="152" t="str">
        <f>VLOOKUP(G525,'Expenses Reference'!$A$1:$B$23,2, FALSE)</f>
        <v>Needs</v>
      </c>
      <c r="G525" s="152" t="s">
        <v>213</v>
      </c>
      <c r="H525" s="154"/>
      <c r="I525" s="154"/>
    </row>
    <row r="526" spans="1:9" s="152" customFormat="1" x14ac:dyDescent="0.3">
      <c r="A526" s="167" t="str">
        <f t="shared" si="114"/>
        <v>2024 12 (Dec)</v>
      </c>
      <c r="B526" s="164">
        <v>45642</v>
      </c>
      <c r="C526" s="163" t="str">
        <f t="shared" si="117"/>
        <v>Monday</v>
      </c>
      <c r="D526" s="152" t="s">
        <v>392</v>
      </c>
      <c r="E526" s="153">
        <v>606</v>
      </c>
      <c r="F526" s="152" t="str">
        <f>VLOOKUP(G526,'Expenses Reference'!$A$1:$B$23,2, FALSE)</f>
        <v>Wants</v>
      </c>
      <c r="G526" s="152" t="s">
        <v>81</v>
      </c>
      <c r="H526" s="154"/>
      <c r="I526" s="154"/>
    </row>
    <row r="527" spans="1:9" x14ac:dyDescent="0.3">
      <c r="A527" s="107" t="str">
        <f t="shared" si="114"/>
        <v>2024 12 (Dec)</v>
      </c>
      <c r="B527" s="165">
        <v>45643</v>
      </c>
      <c r="C527" s="162" t="str">
        <f t="shared" si="117"/>
        <v>Tuesday</v>
      </c>
      <c r="D527" t="s">
        <v>66</v>
      </c>
      <c r="E527" s="2">
        <v>344</v>
      </c>
      <c r="F527" t="str">
        <f>VLOOKUP(G527,'Expenses Reference'!$A$1:$B$23,2, FALSE)</f>
        <v>Needs</v>
      </c>
      <c r="G527" t="s">
        <v>34</v>
      </c>
    </row>
    <row r="528" spans="1:9" x14ac:dyDescent="0.3">
      <c r="A528" s="107" t="str">
        <f t="shared" si="114"/>
        <v>2024 12 (Dec)</v>
      </c>
      <c r="B528" s="165">
        <v>45643</v>
      </c>
      <c r="C528" s="162" t="str">
        <f t="shared" ref="C528:C529" si="118">CHOOSE(WEEKDAY(B528),"Sunday","Monday","Tuesday","Wednesday","Thursday","Friday","Saturday")</f>
        <v>Tuesday</v>
      </c>
      <c r="D528" t="s">
        <v>434</v>
      </c>
      <c r="E528" s="2">
        <v>58</v>
      </c>
      <c r="F528" t="str">
        <f>VLOOKUP(G528,'Expenses Reference'!$A$1:$B$23,2, FALSE)</f>
        <v>Needs</v>
      </c>
      <c r="G528" t="s">
        <v>213</v>
      </c>
    </row>
    <row r="529" spans="1:9" x14ac:dyDescent="0.3">
      <c r="A529" s="107" t="str">
        <f t="shared" si="114"/>
        <v>2024 12 (Dec)</v>
      </c>
      <c r="B529" s="165">
        <v>45643</v>
      </c>
      <c r="C529" s="162" t="str">
        <f t="shared" si="118"/>
        <v>Tuesday</v>
      </c>
      <c r="D529" t="s">
        <v>435</v>
      </c>
      <c r="E529" s="2">
        <v>10000</v>
      </c>
      <c r="F529" t="str">
        <f>VLOOKUP(G529,'Expenses Reference'!$A$1:$B$23,2, FALSE)</f>
        <v>Investments</v>
      </c>
      <c r="G529" t="s">
        <v>218</v>
      </c>
    </row>
    <row r="530" spans="1:9" x14ac:dyDescent="0.3">
      <c r="A530" s="107" t="str">
        <f t="shared" si="114"/>
        <v>2024 12 (Dec)</v>
      </c>
      <c r="B530" s="165">
        <v>45643</v>
      </c>
      <c r="C530" s="162" t="str">
        <f t="shared" si="117"/>
        <v>Tuesday</v>
      </c>
      <c r="D530" t="s">
        <v>65</v>
      </c>
      <c r="E530" s="2">
        <v>645</v>
      </c>
      <c r="F530" t="str">
        <f>VLOOKUP(G530,'Expenses Reference'!$A$1:$B$23,2, FALSE)</f>
        <v>Wants</v>
      </c>
      <c r="G530" t="s">
        <v>81</v>
      </c>
    </row>
    <row r="531" spans="1:9" s="152" customFormat="1" x14ac:dyDescent="0.3">
      <c r="A531" s="167" t="str">
        <f t="shared" si="114"/>
        <v>2024 12 (Dec)</v>
      </c>
      <c r="B531" s="164">
        <v>45644</v>
      </c>
      <c r="C531" s="163" t="str">
        <f t="shared" ref="C531" si="119">CHOOSE(WEEKDAY(B531),"Sunday","Monday","Tuesday","Wednesday","Thursday","Friday","Saturday")</f>
        <v>Wednesday</v>
      </c>
      <c r="D531" s="152" t="s">
        <v>436</v>
      </c>
      <c r="E531" s="153">
        <v>263</v>
      </c>
      <c r="F531" s="152" t="str">
        <f>VLOOKUP(G531,'Expenses Reference'!$A$1:$B$23,2, FALSE)</f>
        <v>Wants</v>
      </c>
      <c r="G531" s="152" t="s">
        <v>288</v>
      </c>
      <c r="H531" s="154"/>
      <c r="I531" s="154"/>
    </row>
    <row r="532" spans="1:9" s="152" customFormat="1" x14ac:dyDescent="0.3">
      <c r="A532" s="167" t="str">
        <f t="shared" si="114"/>
        <v>2024 12 (Dec)</v>
      </c>
      <c r="B532" s="164">
        <v>45644</v>
      </c>
      <c r="C532" s="163" t="str">
        <f t="shared" ref="C532" si="120">CHOOSE(WEEKDAY(B532),"Sunday","Monday","Tuesday","Wednesday","Thursday","Friday","Saturday")</f>
        <v>Wednesday</v>
      </c>
      <c r="D532" s="152" t="s">
        <v>437</v>
      </c>
      <c r="E532" s="153">
        <v>58</v>
      </c>
      <c r="F532" s="152" t="str">
        <f>VLOOKUP(G532,'Expenses Reference'!$A$1:$B$23,2, FALSE)</f>
        <v>Needs</v>
      </c>
      <c r="G532" s="152" t="s">
        <v>213</v>
      </c>
      <c r="H532" s="154"/>
      <c r="I532" s="154"/>
    </row>
    <row r="533" spans="1:9" s="152" customFormat="1" x14ac:dyDescent="0.3">
      <c r="A533" s="167" t="str">
        <f t="shared" si="114"/>
        <v>2024 12 (Dec)</v>
      </c>
      <c r="B533" s="164">
        <v>45644</v>
      </c>
      <c r="C533" s="163" t="str">
        <f t="shared" ref="C533:C599" si="121">CHOOSE(WEEKDAY(B533),"Sunday","Monday","Tuesday","Wednesday","Thursday","Friday","Saturday")</f>
        <v>Wednesday</v>
      </c>
      <c r="D533" s="152" t="s">
        <v>67</v>
      </c>
      <c r="E533" s="153">
        <f>159+15</f>
        <v>174</v>
      </c>
      <c r="F533" s="152" t="str">
        <f>VLOOKUP(G533,'Expenses Reference'!$A$1:$B$23,2, FALSE)</f>
        <v>Needs</v>
      </c>
      <c r="G533" s="152" t="s">
        <v>35</v>
      </c>
      <c r="H533" s="154"/>
      <c r="I533" s="154"/>
    </row>
    <row r="534" spans="1:9" s="152" customFormat="1" x14ac:dyDescent="0.3">
      <c r="A534" s="167" t="str">
        <f t="shared" si="114"/>
        <v>2024 12 (Dec)</v>
      </c>
      <c r="B534" s="164">
        <v>45644</v>
      </c>
      <c r="C534" s="163" t="str">
        <f t="shared" si="121"/>
        <v>Wednesday</v>
      </c>
      <c r="D534" s="152" t="s">
        <v>438</v>
      </c>
      <c r="E534" s="153">
        <v>272</v>
      </c>
      <c r="F534" s="152" t="str">
        <f>VLOOKUP(G534,'Expenses Reference'!$A$1:$B$23,2, FALSE)</f>
        <v>Wants</v>
      </c>
      <c r="G534" s="152" t="s">
        <v>81</v>
      </c>
      <c r="H534" s="154" t="s">
        <v>479</v>
      </c>
      <c r="I534" s="154" t="s">
        <v>439</v>
      </c>
    </row>
    <row r="535" spans="1:9" x14ac:dyDescent="0.3">
      <c r="A535" s="107" t="str">
        <f t="shared" si="114"/>
        <v>2024 12 (Dec)</v>
      </c>
      <c r="B535" s="165">
        <v>45645</v>
      </c>
      <c r="C535" s="162" t="str">
        <f t="shared" si="121"/>
        <v>Thursday</v>
      </c>
      <c r="D535" t="s">
        <v>65</v>
      </c>
      <c r="E535" s="2">
        <v>400</v>
      </c>
      <c r="F535" t="str">
        <f>VLOOKUP(G535,'Expenses Reference'!$A$1:$B$23,2, FALSE)</f>
        <v>Wants</v>
      </c>
      <c r="G535" t="s">
        <v>81</v>
      </c>
    </row>
    <row r="536" spans="1:9" x14ac:dyDescent="0.3">
      <c r="A536" s="107" t="str">
        <f t="shared" si="114"/>
        <v>2024 12 (Dec)</v>
      </c>
      <c r="B536" s="165">
        <v>45645</v>
      </c>
      <c r="C536" s="162" t="str">
        <f t="shared" si="121"/>
        <v>Thursday</v>
      </c>
      <c r="D536" t="s">
        <v>66</v>
      </c>
      <c r="E536" s="2">
        <v>463</v>
      </c>
      <c r="F536" t="str">
        <f>VLOOKUP(G536,'Expenses Reference'!$A$1:$B$23,2, FALSE)</f>
        <v>Wants</v>
      </c>
      <c r="G536" t="s">
        <v>288</v>
      </c>
    </row>
    <row r="537" spans="1:9" s="152" customFormat="1" x14ac:dyDescent="0.3">
      <c r="A537" s="167" t="str">
        <f t="shared" si="114"/>
        <v>2024 12 (Dec)</v>
      </c>
      <c r="B537" s="164">
        <v>45646</v>
      </c>
      <c r="C537" s="163" t="str">
        <f t="shared" si="121"/>
        <v>Friday</v>
      </c>
      <c r="D537" s="152" t="s">
        <v>65</v>
      </c>
      <c r="E537" s="153">
        <v>516</v>
      </c>
      <c r="F537" s="152" t="str">
        <f>VLOOKUP(G537,'Expenses Reference'!$A$1:$B$23,2, FALSE)</f>
        <v>Wants</v>
      </c>
      <c r="G537" s="152" t="s">
        <v>81</v>
      </c>
      <c r="H537" s="154"/>
      <c r="I537" s="154"/>
    </row>
    <row r="538" spans="1:9" x14ac:dyDescent="0.3">
      <c r="A538" s="107" t="str">
        <f t="shared" si="114"/>
        <v>2024 12 (Dec)</v>
      </c>
      <c r="B538" s="165">
        <v>45647</v>
      </c>
      <c r="C538" s="162" t="str">
        <f t="shared" si="121"/>
        <v>Saturday</v>
      </c>
      <c r="D538" t="s">
        <v>440</v>
      </c>
      <c r="E538" s="2">
        <v>30</v>
      </c>
      <c r="F538" t="str">
        <f>VLOOKUP(G538,'Expenses Reference'!$A$1:$B$23,2, FALSE)</f>
        <v>Needs</v>
      </c>
      <c r="G538" t="s">
        <v>34</v>
      </c>
    </row>
    <row r="539" spans="1:9" x14ac:dyDescent="0.3">
      <c r="A539" s="107" t="str">
        <f t="shared" si="114"/>
        <v>2024 12 (Dec)</v>
      </c>
      <c r="B539" s="165">
        <v>45647</v>
      </c>
      <c r="C539" s="162" t="str">
        <f t="shared" si="121"/>
        <v>Saturday</v>
      </c>
      <c r="D539" t="s">
        <v>441</v>
      </c>
      <c r="E539" s="2">
        <v>55</v>
      </c>
      <c r="F539" t="str">
        <f>VLOOKUP(G539,'Expenses Reference'!$A$1:$B$23,2, FALSE)</f>
        <v>Wants</v>
      </c>
      <c r="G539" t="s">
        <v>288</v>
      </c>
    </row>
    <row r="540" spans="1:9" x14ac:dyDescent="0.3">
      <c r="A540" s="107" t="str">
        <f t="shared" si="114"/>
        <v>2024 12 (Dec)</v>
      </c>
      <c r="B540" s="165">
        <v>45647</v>
      </c>
      <c r="C540" s="162" t="str">
        <f t="shared" si="121"/>
        <v>Saturday</v>
      </c>
      <c r="D540" t="s">
        <v>65</v>
      </c>
      <c r="E540" s="2">
        <v>317</v>
      </c>
      <c r="F540" t="str">
        <f>VLOOKUP(G540,'Expenses Reference'!$A$1:$B$23,2, FALSE)</f>
        <v>Wants</v>
      </c>
      <c r="G540" t="s">
        <v>81</v>
      </c>
    </row>
    <row r="541" spans="1:9" x14ac:dyDescent="0.3">
      <c r="A541" s="107" t="str">
        <f t="shared" si="114"/>
        <v>2024 12 (Dec)</v>
      </c>
      <c r="B541" s="165">
        <v>45647</v>
      </c>
      <c r="C541" s="162" t="str">
        <f t="shared" si="121"/>
        <v>Saturday</v>
      </c>
      <c r="D541" t="s">
        <v>435</v>
      </c>
      <c r="E541" s="2">
        <v>10000</v>
      </c>
      <c r="F541" t="str">
        <f>VLOOKUP(G541,'Expenses Reference'!$A$1:$B$23,2, FALSE)</f>
        <v>Investments</v>
      </c>
      <c r="G541" t="s">
        <v>218</v>
      </c>
    </row>
    <row r="542" spans="1:9" x14ac:dyDescent="0.3">
      <c r="A542" s="107" t="str">
        <f t="shared" si="114"/>
        <v>2024 12 (Dec)</v>
      </c>
      <c r="B542" s="165">
        <v>45647</v>
      </c>
      <c r="C542" s="162" t="str">
        <f t="shared" si="121"/>
        <v>Saturday</v>
      </c>
      <c r="D542" t="s">
        <v>442</v>
      </c>
      <c r="E542" s="2">
        <v>1449</v>
      </c>
      <c r="F542" t="str">
        <f>VLOOKUP(G542,'Expenses Reference'!$A$1:$B$23,2, FALSE)</f>
        <v>Wants</v>
      </c>
      <c r="G542" t="s">
        <v>185</v>
      </c>
    </row>
    <row r="543" spans="1:9" x14ac:dyDescent="0.3">
      <c r="A543" s="107" t="str">
        <f t="shared" si="114"/>
        <v>2024 12 (Dec)</v>
      </c>
      <c r="B543" s="165">
        <v>45647</v>
      </c>
      <c r="C543" s="162" t="str">
        <f t="shared" si="121"/>
        <v>Saturday</v>
      </c>
      <c r="D543" t="s">
        <v>177</v>
      </c>
      <c r="E543" s="2">
        <v>61</v>
      </c>
      <c r="F543" t="str">
        <f>VLOOKUP(G543,'Expenses Reference'!$A$1:$B$23,2, FALSE)</f>
        <v>Wants</v>
      </c>
      <c r="G543" t="s">
        <v>84</v>
      </c>
    </row>
    <row r="544" spans="1:9" x14ac:dyDescent="0.3">
      <c r="A544" s="107" t="str">
        <f t="shared" si="114"/>
        <v>2024 12 (Dec)</v>
      </c>
      <c r="B544" s="165">
        <v>45647</v>
      </c>
      <c r="C544" s="162" t="str">
        <f t="shared" si="121"/>
        <v>Saturday</v>
      </c>
      <c r="D544" t="s">
        <v>102</v>
      </c>
      <c r="E544" s="2">
        <v>40</v>
      </c>
      <c r="F544" t="str">
        <f>VLOOKUP(G544,'Expenses Reference'!$A$1:$B$23,2, FALSE)</f>
        <v>Wants</v>
      </c>
      <c r="G544" t="s">
        <v>84</v>
      </c>
    </row>
    <row r="545" spans="1:9" x14ac:dyDescent="0.3">
      <c r="A545" s="107" t="str">
        <f t="shared" si="114"/>
        <v>2024 12 (Dec)</v>
      </c>
      <c r="B545" s="165">
        <v>45647</v>
      </c>
      <c r="C545" s="162" t="str">
        <f t="shared" si="121"/>
        <v>Saturday</v>
      </c>
      <c r="D545" t="s">
        <v>443</v>
      </c>
      <c r="E545" s="2">
        <v>105</v>
      </c>
      <c r="F545" t="str">
        <f>VLOOKUP(G545,'Expenses Reference'!$A$1:$B$23,2, FALSE)</f>
        <v>Wants</v>
      </c>
      <c r="G545" t="s">
        <v>81</v>
      </c>
    </row>
    <row r="546" spans="1:9" x14ac:dyDescent="0.3">
      <c r="A546" s="107" t="str">
        <f t="shared" si="114"/>
        <v>2024 12 (Dec)</v>
      </c>
      <c r="B546" s="165">
        <v>45647</v>
      </c>
      <c r="C546" s="162" t="str">
        <f t="shared" si="121"/>
        <v>Saturday</v>
      </c>
      <c r="D546" t="s">
        <v>444</v>
      </c>
      <c r="E546" s="2">
        <v>7460</v>
      </c>
      <c r="F546" t="str">
        <f>VLOOKUP(G546,'Expenses Reference'!$A$1:$B$23,2, FALSE)</f>
        <v>Wants</v>
      </c>
      <c r="G546" t="s">
        <v>185</v>
      </c>
    </row>
    <row r="547" spans="1:9" x14ac:dyDescent="0.3">
      <c r="A547" s="107" t="str">
        <f t="shared" si="114"/>
        <v>2024 12 (Dec)</v>
      </c>
      <c r="B547" s="165">
        <v>45647</v>
      </c>
      <c r="C547" s="162" t="str">
        <f t="shared" si="121"/>
        <v>Saturday</v>
      </c>
      <c r="D547" t="s">
        <v>445</v>
      </c>
      <c r="E547" s="2">
        <v>40</v>
      </c>
      <c r="F547" t="str">
        <f>VLOOKUP(G547,'Expenses Reference'!$A$1:$B$23,2, FALSE)</f>
        <v>Wants</v>
      </c>
      <c r="G547" t="s">
        <v>84</v>
      </c>
    </row>
    <row r="548" spans="1:9" x14ac:dyDescent="0.3">
      <c r="A548" s="107" t="str">
        <f t="shared" si="114"/>
        <v>2024 12 (Dec)</v>
      </c>
      <c r="B548" s="165">
        <v>45647</v>
      </c>
      <c r="C548" s="162" t="str">
        <f t="shared" si="121"/>
        <v>Saturday</v>
      </c>
      <c r="D548" t="s">
        <v>446</v>
      </c>
      <c r="E548" s="2">
        <v>33</v>
      </c>
      <c r="F548" t="str">
        <f>VLOOKUP(G548,'Expenses Reference'!$A$1:$B$23,2, FALSE)</f>
        <v>Wants</v>
      </c>
      <c r="G548" t="s">
        <v>84</v>
      </c>
    </row>
    <row r="549" spans="1:9" s="152" customFormat="1" x14ac:dyDescent="0.3">
      <c r="A549" s="167" t="str">
        <f t="shared" si="114"/>
        <v>2024 12 (Dec)</v>
      </c>
      <c r="B549" s="164">
        <v>45648</v>
      </c>
      <c r="C549" s="163" t="str">
        <f t="shared" si="121"/>
        <v>Sunday</v>
      </c>
      <c r="D549" s="152" t="s">
        <v>260</v>
      </c>
      <c r="E549" s="153">
        <v>199</v>
      </c>
      <c r="F549" s="152" t="str">
        <f>VLOOKUP(G549,'Expenses Reference'!$A$1:$B$23,2, FALSE)</f>
        <v>Wants</v>
      </c>
      <c r="G549" s="152" t="s">
        <v>54</v>
      </c>
      <c r="H549" s="154"/>
      <c r="I549" s="154"/>
    </row>
    <row r="550" spans="1:9" s="152" customFormat="1" x14ac:dyDescent="0.3">
      <c r="A550" s="167" t="str">
        <f t="shared" si="114"/>
        <v>2024 12 (Dec)</v>
      </c>
      <c r="B550" s="164">
        <v>45648</v>
      </c>
      <c r="C550" s="163" t="str">
        <f t="shared" si="121"/>
        <v>Sunday</v>
      </c>
      <c r="D550" s="152" t="s">
        <v>447</v>
      </c>
      <c r="E550" s="153">
        <v>57</v>
      </c>
      <c r="F550" s="152" t="str">
        <f>VLOOKUP(G550,'Expenses Reference'!$A$1:$B$23,2, FALSE)</f>
        <v>Wants</v>
      </c>
      <c r="G550" s="152" t="s">
        <v>84</v>
      </c>
      <c r="H550" s="154" t="s">
        <v>357</v>
      </c>
      <c r="I550" s="154"/>
    </row>
    <row r="551" spans="1:9" s="152" customFormat="1" x14ac:dyDescent="0.3">
      <c r="A551" s="167" t="str">
        <f t="shared" si="114"/>
        <v>2024 12 (Dec)</v>
      </c>
      <c r="B551" s="164">
        <v>45648</v>
      </c>
      <c r="C551" s="163" t="str">
        <f t="shared" si="121"/>
        <v>Sunday</v>
      </c>
      <c r="D551" s="152" t="s">
        <v>354</v>
      </c>
      <c r="E551" s="153">
        <f>240+50</f>
        <v>290</v>
      </c>
      <c r="F551" s="152" t="str">
        <f>VLOOKUP(G551,'Expenses Reference'!$A$1:$B$23,2, FALSE)</f>
        <v>Wants</v>
      </c>
      <c r="G551" s="152" t="s">
        <v>203</v>
      </c>
      <c r="H551" s="154" t="s">
        <v>357</v>
      </c>
      <c r="I551" s="154"/>
    </row>
    <row r="552" spans="1:9" s="152" customFormat="1" x14ac:dyDescent="0.3">
      <c r="A552" s="167" t="str">
        <f t="shared" si="114"/>
        <v>2024 12 (Dec)</v>
      </c>
      <c r="B552" s="164">
        <v>45648</v>
      </c>
      <c r="C552" s="163" t="str">
        <f t="shared" si="121"/>
        <v>Sunday</v>
      </c>
      <c r="D552" s="152" t="s">
        <v>207</v>
      </c>
      <c r="E552" s="153">
        <v>81</v>
      </c>
      <c r="F552" s="152" t="str">
        <f>VLOOKUP(G552,'Expenses Reference'!$A$1:$B$23,2, FALSE)</f>
        <v>Wants</v>
      </c>
      <c r="G552" s="152" t="s">
        <v>84</v>
      </c>
      <c r="H552" s="154" t="s">
        <v>357</v>
      </c>
      <c r="I552" s="154"/>
    </row>
    <row r="553" spans="1:9" s="152" customFormat="1" x14ac:dyDescent="0.3">
      <c r="A553" s="167" t="str">
        <f t="shared" si="114"/>
        <v>2024 12 (Dec)</v>
      </c>
      <c r="B553" s="164">
        <v>45648</v>
      </c>
      <c r="C553" s="163" t="str">
        <f t="shared" si="121"/>
        <v>Sunday</v>
      </c>
      <c r="D553" s="152" t="s">
        <v>66</v>
      </c>
      <c r="E553" s="153">
        <v>482</v>
      </c>
      <c r="F553" s="152" t="str">
        <f>VLOOKUP(G553,'Expenses Reference'!$A$1:$B$23,2, FALSE)</f>
        <v>Needs</v>
      </c>
      <c r="G553" s="152" t="s">
        <v>34</v>
      </c>
      <c r="H553" s="154"/>
      <c r="I553" s="154"/>
    </row>
    <row r="554" spans="1:9" s="152" customFormat="1" x14ac:dyDescent="0.3">
      <c r="A554" s="167" t="str">
        <f t="shared" si="114"/>
        <v>2024 12 (Dec)</v>
      </c>
      <c r="B554" s="164">
        <v>45648</v>
      </c>
      <c r="C554" s="163" t="str">
        <f t="shared" si="121"/>
        <v>Sunday</v>
      </c>
      <c r="D554" s="152" t="s">
        <v>455</v>
      </c>
      <c r="E554" s="153">
        <v>185</v>
      </c>
      <c r="F554" s="152" t="str">
        <f>VLOOKUP(G554,'Expenses Reference'!$A$1:$B$23,2, FALSE)</f>
        <v>Wants</v>
      </c>
      <c r="G554" s="152" t="s">
        <v>288</v>
      </c>
      <c r="H554" s="154"/>
      <c r="I554" s="154"/>
    </row>
    <row r="555" spans="1:9" s="152" customFormat="1" x14ac:dyDescent="0.3">
      <c r="A555" s="167" t="str">
        <f t="shared" si="114"/>
        <v>2024 12 (Dec)</v>
      </c>
      <c r="B555" s="164">
        <v>45648</v>
      </c>
      <c r="C555" s="163" t="str">
        <f t="shared" ref="C555" si="122">CHOOSE(WEEKDAY(B555),"Sunday","Monday","Tuesday","Wednesday","Thursday","Friday","Saturday")</f>
        <v>Sunday</v>
      </c>
      <c r="D555" s="152" t="s">
        <v>451</v>
      </c>
      <c r="E555" s="153">
        <v>37</v>
      </c>
      <c r="F555" s="152" t="str">
        <f>VLOOKUP(G555,'Expenses Reference'!$A$1:$B$23,2, FALSE)</f>
        <v>Wants</v>
      </c>
      <c r="G555" s="152" t="s">
        <v>288</v>
      </c>
      <c r="H555" s="154"/>
      <c r="I555" s="154"/>
    </row>
    <row r="556" spans="1:9" s="152" customFormat="1" x14ac:dyDescent="0.3">
      <c r="A556" s="167" t="str">
        <f t="shared" si="114"/>
        <v>2024 12 (Dec)</v>
      </c>
      <c r="B556" s="164">
        <v>45648</v>
      </c>
      <c r="C556" s="163" t="str">
        <f t="shared" ref="C556:C557" si="123">CHOOSE(WEEKDAY(B556),"Sunday","Monday","Tuesday","Wednesday","Thursday","Friday","Saturday")</f>
        <v>Sunday</v>
      </c>
      <c r="D556" s="152" t="s">
        <v>452</v>
      </c>
      <c r="E556" s="153">
        <v>359</v>
      </c>
      <c r="F556" s="152" t="str">
        <f>VLOOKUP(G556,'Expenses Reference'!$A$1:$B$23,2, FALSE)</f>
        <v>Wants</v>
      </c>
      <c r="G556" s="152" t="s">
        <v>81</v>
      </c>
      <c r="H556" s="154"/>
      <c r="I556" s="154" t="s">
        <v>454</v>
      </c>
    </row>
    <row r="557" spans="1:9" s="152" customFormat="1" x14ac:dyDescent="0.3">
      <c r="A557" s="167" t="str">
        <f t="shared" si="114"/>
        <v>2024 12 (Dec)</v>
      </c>
      <c r="B557" s="164">
        <v>45648</v>
      </c>
      <c r="C557" s="163" t="str">
        <f t="shared" si="123"/>
        <v>Sunday</v>
      </c>
      <c r="D557" s="152" t="s">
        <v>453</v>
      </c>
      <c r="E557" s="153">
        <v>207</v>
      </c>
      <c r="F557" s="152" t="str">
        <f>VLOOKUP(G557,'Expenses Reference'!$A$1:$B$23,2, FALSE)</f>
        <v>Wants</v>
      </c>
      <c r="G557" s="152" t="s">
        <v>81</v>
      </c>
      <c r="H557" s="154"/>
      <c r="I557" s="154" t="s">
        <v>454</v>
      </c>
    </row>
    <row r="558" spans="1:9" x14ac:dyDescent="0.3">
      <c r="A558" s="107" t="str">
        <f t="shared" si="114"/>
        <v>2024 12 (Dec)</v>
      </c>
      <c r="B558" s="165">
        <v>45649</v>
      </c>
      <c r="C558" s="162" t="str">
        <f t="shared" si="121"/>
        <v>Monday</v>
      </c>
      <c r="D558" t="s">
        <v>448</v>
      </c>
      <c r="E558" s="2">
        <v>10000</v>
      </c>
      <c r="F558" t="str">
        <f>VLOOKUP(G558,'Expenses Reference'!$A$1:$B$23,2, FALSE)</f>
        <v>Investments</v>
      </c>
      <c r="G558" t="s">
        <v>218</v>
      </c>
    </row>
    <row r="559" spans="1:9" x14ac:dyDescent="0.3">
      <c r="A559" s="107" t="str">
        <f t="shared" si="114"/>
        <v>2024 12 (Dec)</v>
      </c>
      <c r="B559" s="165">
        <v>45649</v>
      </c>
      <c r="C559" s="162" t="str">
        <f t="shared" si="121"/>
        <v>Monday</v>
      </c>
      <c r="D559" t="s">
        <v>66</v>
      </c>
      <c r="E559" s="2">
        <v>552</v>
      </c>
      <c r="F559" t="str">
        <f>VLOOKUP(G559,'Expenses Reference'!$A$1:$B$23,2, FALSE)</f>
        <v>Needs</v>
      </c>
      <c r="G559" t="s">
        <v>34</v>
      </c>
    </row>
    <row r="560" spans="1:9" x14ac:dyDescent="0.3">
      <c r="A560" s="107" t="str">
        <f t="shared" si="114"/>
        <v>2024 12 (Dec)</v>
      </c>
      <c r="B560" s="165">
        <v>45649</v>
      </c>
      <c r="C560" s="162" t="str">
        <f t="shared" si="121"/>
        <v>Monday</v>
      </c>
      <c r="D560" t="s">
        <v>449</v>
      </c>
      <c r="E560" s="2">
        <v>38</v>
      </c>
      <c r="F560" t="str">
        <f>VLOOKUP(G560,'Expenses Reference'!$A$1:$B$23,2, FALSE)</f>
        <v>Wants</v>
      </c>
      <c r="G560" t="s">
        <v>84</v>
      </c>
    </row>
    <row r="561" spans="1:9" x14ac:dyDescent="0.3">
      <c r="A561" s="107" t="str">
        <f t="shared" si="114"/>
        <v>2024 12 (Dec)</v>
      </c>
      <c r="B561" s="165">
        <v>45649</v>
      </c>
      <c r="C561" s="162" t="str">
        <f t="shared" si="121"/>
        <v>Monday</v>
      </c>
      <c r="D561" t="s">
        <v>450</v>
      </c>
      <c r="E561" s="2">
        <v>2807</v>
      </c>
      <c r="F561" t="str">
        <f>VLOOKUP(G561,'Expenses Reference'!$A$1:$B$23,2, FALSE)</f>
        <v>Wants</v>
      </c>
      <c r="G561" t="s">
        <v>185</v>
      </c>
      <c r="H561" s="1" t="s">
        <v>333</v>
      </c>
    </row>
    <row r="562" spans="1:9" x14ac:dyDescent="0.3">
      <c r="A562" s="107" t="str">
        <f t="shared" si="114"/>
        <v>2024 12 (Dec)</v>
      </c>
      <c r="B562" s="165">
        <v>45649</v>
      </c>
      <c r="C562" s="162" t="str">
        <f t="shared" si="121"/>
        <v>Monday</v>
      </c>
      <c r="D562" t="s">
        <v>446</v>
      </c>
      <c r="E562" s="2">
        <v>32</v>
      </c>
      <c r="F562" t="str">
        <f>VLOOKUP(G562,'Expenses Reference'!$A$1:$B$23,2, FALSE)</f>
        <v>Wants</v>
      </c>
      <c r="G562" t="s">
        <v>84</v>
      </c>
    </row>
    <row r="563" spans="1:9" x14ac:dyDescent="0.3">
      <c r="A563" s="107" t="str">
        <f t="shared" si="114"/>
        <v>2024 12 (Dec)</v>
      </c>
      <c r="B563" s="165">
        <v>45649</v>
      </c>
      <c r="C563" s="162" t="str">
        <f t="shared" si="121"/>
        <v>Monday</v>
      </c>
      <c r="D563" t="s">
        <v>456</v>
      </c>
      <c r="E563" s="2">
        <v>2600</v>
      </c>
      <c r="F563" t="str">
        <f>VLOOKUP(G563,'Expenses Reference'!$A$1:$B$23,2, FALSE)</f>
        <v>Wants</v>
      </c>
      <c r="G563" t="s">
        <v>203</v>
      </c>
      <c r="H563" s="1" t="s">
        <v>333</v>
      </c>
    </row>
    <row r="564" spans="1:9" s="152" customFormat="1" x14ac:dyDescent="0.3">
      <c r="A564" s="167" t="str">
        <f t="shared" si="114"/>
        <v>2024 12 (Dec)</v>
      </c>
      <c r="B564" s="164">
        <v>45650</v>
      </c>
      <c r="C564" s="163" t="str">
        <f t="shared" si="121"/>
        <v>Tuesday</v>
      </c>
      <c r="D564" s="152" t="s">
        <v>448</v>
      </c>
      <c r="E564" s="153">
        <v>5000</v>
      </c>
      <c r="F564" s="152" t="str">
        <f>VLOOKUP(G564,'Expenses Reference'!$A$1:$B$23,2, FALSE)</f>
        <v>Investments</v>
      </c>
      <c r="G564" s="152" t="s">
        <v>457</v>
      </c>
      <c r="H564" s="154"/>
      <c r="I564" s="154"/>
    </row>
    <row r="565" spans="1:9" s="152" customFormat="1" x14ac:dyDescent="0.3">
      <c r="A565" s="167" t="str">
        <f t="shared" si="114"/>
        <v>2024 12 (Dec)</v>
      </c>
      <c r="B565" s="164">
        <v>45650</v>
      </c>
      <c r="C565" s="163" t="str">
        <f t="shared" si="121"/>
        <v>Tuesday</v>
      </c>
      <c r="D565" s="152" t="s">
        <v>66</v>
      </c>
      <c r="E565" s="153">
        <v>421</v>
      </c>
      <c r="F565" s="152" t="str">
        <f>VLOOKUP(G565,'Expenses Reference'!$A$1:$B$23,2, FALSE)</f>
        <v>Wants</v>
      </c>
      <c r="G565" s="152" t="s">
        <v>288</v>
      </c>
      <c r="H565" s="154"/>
      <c r="I565" s="154"/>
    </row>
    <row r="566" spans="1:9" s="152" customFormat="1" x14ac:dyDescent="0.3">
      <c r="A566" s="167" t="str">
        <f t="shared" si="114"/>
        <v>2024 12 (Dec)</v>
      </c>
      <c r="B566" s="164">
        <v>45650</v>
      </c>
      <c r="C566" s="163" t="str">
        <f t="shared" si="121"/>
        <v>Tuesday</v>
      </c>
      <c r="D566" s="152" t="s">
        <v>65</v>
      </c>
      <c r="E566" s="153">
        <v>415</v>
      </c>
      <c r="F566" s="152" t="str">
        <f>VLOOKUP(G566,'Expenses Reference'!$A$1:$B$23,2, FALSE)</f>
        <v>Wants</v>
      </c>
      <c r="G566" s="152" t="s">
        <v>81</v>
      </c>
      <c r="H566" s="154"/>
      <c r="I566" s="154"/>
    </row>
    <row r="567" spans="1:9" s="152" customFormat="1" x14ac:dyDescent="0.3">
      <c r="A567" s="167" t="str">
        <f t="shared" si="114"/>
        <v>2024 12 (Dec)</v>
      </c>
      <c r="B567" s="164">
        <v>45650</v>
      </c>
      <c r="C567" s="163" t="str">
        <f t="shared" si="121"/>
        <v>Tuesday</v>
      </c>
      <c r="D567" s="152" t="s">
        <v>445</v>
      </c>
      <c r="E567" s="153">
        <v>45</v>
      </c>
      <c r="F567" s="152" t="str">
        <f>VLOOKUP(G567,'Expenses Reference'!$A$1:$B$23,2, FALSE)</f>
        <v>Wants</v>
      </c>
      <c r="G567" s="152" t="s">
        <v>84</v>
      </c>
      <c r="H567" s="154"/>
      <c r="I567" s="154"/>
    </row>
    <row r="568" spans="1:9" s="152" customFormat="1" x14ac:dyDescent="0.3">
      <c r="A568" s="167" t="str">
        <f t="shared" si="114"/>
        <v>2024 12 (Dec)</v>
      </c>
      <c r="B568" s="164">
        <v>45650</v>
      </c>
      <c r="C568" s="163" t="str">
        <f t="shared" si="121"/>
        <v>Tuesday</v>
      </c>
      <c r="D568" s="152" t="s">
        <v>135</v>
      </c>
      <c r="E568" s="153">
        <v>87</v>
      </c>
      <c r="F568" s="152" t="str">
        <f>VLOOKUP(G568,'Expenses Reference'!$A$1:$B$23,2, FALSE)</f>
        <v>Wants</v>
      </c>
      <c r="G568" s="152" t="s">
        <v>288</v>
      </c>
      <c r="H568" s="154"/>
      <c r="I568" s="154"/>
    </row>
    <row r="569" spans="1:9" x14ac:dyDescent="0.3">
      <c r="A569" s="107" t="str">
        <f t="shared" si="114"/>
        <v>2024 12 (Dec)</v>
      </c>
      <c r="B569" s="165">
        <v>45652</v>
      </c>
      <c r="C569" s="162" t="str">
        <f t="shared" si="121"/>
        <v>Thursday</v>
      </c>
      <c r="D569" t="s">
        <v>458</v>
      </c>
      <c r="E569" s="2">
        <v>49</v>
      </c>
      <c r="F569" t="str">
        <f>VLOOKUP(G569,'Expenses Reference'!$A$1:$B$23,2, FALSE)</f>
        <v>Needs</v>
      </c>
      <c r="G569" t="s">
        <v>82</v>
      </c>
    </row>
    <row r="570" spans="1:9" s="152" customFormat="1" x14ac:dyDescent="0.3">
      <c r="A570" s="167" t="str">
        <f t="shared" si="114"/>
        <v>2024 12 (Dec)</v>
      </c>
      <c r="B570" s="164">
        <v>45655</v>
      </c>
      <c r="C570" s="163" t="str">
        <f t="shared" si="121"/>
        <v>Sunday</v>
      </c>
      <c r="D570" s="152" t="s">
        <v>333</v>
      </c>
      <c r="E570" s="153">
        <f>15000-8000</f>
        <v>7000</v>
      </c>
      <c r="F570" s="152" t="str">
        <f>VLOOKUP(G570,'Expenses Reference'!$A$1:$B$23,2, FALSE)</f>
        <v>Wants</v>
      </c>
      <c r="G570" s="152" t="s">
        <v>215</v>
      </c>
      <c r="H570" s="154" t="s">
        <v>333</v>
      </c>
      <c r="I570" s="154" t="s">
        <v>489</v>
      </c>
    </row>
    <row r="571" spans="1:9" s="152" customFormat="1" x14ac:dyDescent="0.3">
      <c r="A571" s="167" t="str">
        <f t="shared" si="114"/>
        <v>2024 12 (Dec)</v>
      </c>
      <c r="B571" s="164">
        <v>45655</v>
      </c>
      <c r="C571" s="163" t="str">
        <f t="shared" si="121"/>
        <v>Sunday</v>
      </c>
      <c r="D571" s="152" t="s">
        <v>65</v>
      </c>
      <c r="E571" s="153">
        <v>544</v>
      </c>
      <c r="F571" s="152" t="str">
        <f>VLOOKUP(G571,'Expenses Reference'!$A$1:$B$23,2, FALSE)</f>
        <v>Wants</v>
      </c>
      <c r="G571" s="152" t="s">
        <v>81</v>
      </c>
      <c r="H571" s="154"/>
      <c r="I571" s="154"/>
    </row>
    <row r="572" spans="1:9" x14ac:dyDescent="0.3">
      <c r="A572" s="107" t="str">
        <f t="shared" si="114"/>
        <v>2024 12 (Dec)</v>
      </c>
      <c r="B572" s="165">
        <v>45656</v>
      </c>
      <c r="C572" s="162" t="str">
        <f t="shared" si="121"/>
        <v>Monday</v>
      </c>
      <c r="D572" t="s">
        <v>459</v>
      </c>
      <c r="E572" s="2">
        <v>350</v>
      </c>
      <c r="F572" t="str">
        <f>VLOOKUP(G572,'Expenses Reference'!$A$1:$B$23,2, FALSE)</f>
        <v>Wants</v>
      </c>
      <c r="G572" t="s">
        <v>288</v>
      </c>
    </row>
    <row r="573" spans="1:9" x14ac:dyDescent="0.3">
      <c r="A573" s="107" t="str">
        <f t="shared" si="114"/>
        <v>2024 12 (Dec)</v>
      </c>
      <c r="B573" s="165">
        <v>45656</v>
      </c>
      <c r="C573" s="162" t="str">
        <f t="shared" si="121"/>
        <v>Monday</v>
      </c>
      <c r="D573" t="s">
        <v>65</v>
      </c>
      <c r="E573" s="2">
        <v>793</v>
      </c>
      <c r="F573" t="str">
        <f>VLOOKUP(G573,'Expenses Reference'!$A$1:$B$23,2, FALSE)</f>
        <v>Wants</v>
      </c>
      <c r="G573" t="s">
        <v>81</v>
      </c>
    </row>
    <row r="574" spans="1:9" s="152" customFormat="1" x14ac:dyDescent="0.3">
      <c r="A574" s="167" t="str">
        <f t="shared" si="114"/>
        <v>2024 12 (Dec)</v>
      </c>
      <c r="B574" s="164">
        <v>45657</v>
      </c>
      <c r="C574" s="163" t="str">
        <f t="shared" si="121"/>
        <v>Tuesday</v>
      </c>
      <c r="D574" s="152" t="s">
        <v>65</v>
      </c>
      <c r="E574" s="153">
        <v>462</v>
      </c>
      <c r="F574" s="152" t="str">
        <f>VLOOKUP(G574,'Expenses Reference'!$A$1:$B$23,2, FALSE)</f>
        <v>Wants</v>
      </c>
      <c r="G574" s="152" t="s">
        <v>81</v>
      </c>
      <c r="H574" s="154"/>
      <c r="I574" s="154"/>
    </row>
    <row r="575" spans="1:9" s="152" customFormat="1" x14ac:dyDescent="0.3">
      <c r="A575" s="167" t="str">
        <f t="shared" si="114"/>
        <v>2024 12 (Dec)</v>
      </c>
      <c r="B575" s="164">
        <v>45657</v>
      </c>
      <c r="C575" s="163" t="str">
        <f t="shared" si="121"/>
        <v>Tuesday</v>
      </c>
      <c r="D575" s="152" t="s">
        <v>66</v>
      </c>
      <c r="E575" s="153">
        <v>485</v>
      </c>
      <c r="F575" s="152" t="str">
        <f>VLOOKUP(G575,'Expenses Reference'!$A$1:$B$23,2, FALSE)</f>
        <v>Wants</v>
      </c>
      <c r="G575" s="152" t="s">
        <v>288</v>
      </c>
      <c r="H575" s="154"/>
      <c r="I575" s="154"/>
    </row>
    <row r="576" spans="1:9" s="152" customFormat="1" x14ac:dyDescent="0.3">
      <c r="A576" s="167" t="str">
        <f t="shared" si="114"/>
        <v>2024 12 (Dec)</v>
      </c>
      <c r="B576" s="164">
        <v>45657</v>
      </c>
      <c r="C576" s="163" t="str">
        <f t="shared" si="121"/>
        <v>Tuesday</v>
      </c>
      <c r="D576" s="152" t="s">
        <v>436</v>
      </c>
      <c r="E576" s="153">
        <v>481</v>
      </c>
      <c r="F576" s="152" t="str">
        <f>VLOOKUP(G576,'Expenses Reference'!$A$1:$B$23,2, FALSE)</f>
        <v>Needs</v>
      </c>
      <c r="G576" s="152" t="s">
        <v>34</v>
      </c>
      <c r="H576" s="154"/>
      <c r="I576" s="154"/>
    </row>
    <row r="577" spans="1:9" s="152" customFormat="1" x14ac:dyDescent="0.3">
      <c r="A577" s="167" t="str">
        <f t="shared" si="114"/>
        <v>2024 12 (Dec)</v>
      </c>
      <c r="B577" s="164">
        <v>45657</v>
      </c>
      <c r="C577" s="163" t="str">
        <f t="shared" si="121"/>
        <v>Tuesday</v>
      </c>
      <c r="D577" s="152" t="s">
        <v>65</v>
      </c>
      <c r="E577" s="153">
        <v>551</v>
      </c>
      <c r="F577" s="152" t="str">
        <f>VLOOKUP(G577,'Expenses Reference'!$A$1:$B$23,2, FALSE)</f>
        <v>Wants</v>
      </c>
      <c r="G577" s="152" t="s">
        <v>81</v>
      </c>
      <c r="H577" s="154"/>
      <c r="I577" s="154"/>
    </row>
    <row r="578" spans="1:9" x14ac:dyDescent="0.3">
      <c r="A578" s="107" t="str">
        <f t="shared" si="114"/>
        <v>2025 01 (Jan)</v>
      </c>
      <c r="B578" s="165">
        <v>45658</v>
      </c>
      <c r="C578" s="162" t="str">
        <f t="shared" si="121"/>
        <v>Wednesday</v>
      </c>
      <c r="D578" t="s">
        <v>107</v>
      </c>
      <c r="E578" s="2">
        <f>20000+2000/3</f>
        <v>20666.666666666668</v>
      </c>
      <c r="F578" t="str">
        <f>VLOOKUP(G578,'Expenses Reference'!$A$1:$B$23,2, FALSE)</f>
        <v>Needs</v>
      </c>
      <c r="G578" t="s">
        <v>30</v>
      </c>
    </row>
    <row r="579" spans="1:9" x14ac:dyDescent="0.3">
      <c r="A579" s="107" t="str">
        <f t="shared" ref="A579:A627" si="124">_xlfn.CONCAT(YEAR(B579), " ", CHOOSE(MONTH(B579), "01 (Jan)", "02 (Feb)", "03 (Mar)", "04 (Apr)", "05 (May)", "06 (Jun)", "07 (Jul)", "08 (Aug)", "09 (Sep)", "10 (Oct)", "11 (Nov)", "12 (Dec)"))</f>
        <v>2025 01 (Jan)</v>
      </c>
      <c r="B579" s="165">
        <v>45658</v>
      </c>
      <c r="C579" s="162" t="str">
        <f t="shared" si="121"/>
        <v>Wednesday</v>
      </c>
      <c r="D579" t="s">
        <v>66</v>
      </c>
      <c r="E579" s="2">
        <v>254</v>
      </c>
      <c r="F579" t="str">
        <f>VLOOKUP(G579,'Expenses Reference'!$A$1:$B$23,2, FALSE)</f>
        <v>Wants</v>
      </c>
      <c r="G579" t="s">
        <v>81</v>
      </c>
    </row>
    <row r="580" spans="1:9" s="152" customFormat="1" x14ac:dyDescent="0.3">
      <c r="A580" s="167" t="str">
        <f t="shared" si="124"/>
        <v>2025 01 (Jan)</v>
      </c>
      <c r="B580" s="164">
        <v>45659</v>
      </c>
      <c r="C580" s="163" t="str">
        <f t="shared" si="121"/>
        <v>Thursday</v>
      </c>
      <c r="D580" s="152" t="s">
        <v>460</v>
      </c>
      <c r="E580" s="153">
        <v>54</v>
      </c>
      <c r="F580" s="152" t="str">
        <f>VLOOKUP(G580,'Expenses Reference'!$A$1:$B$23,2, FALSE)</f>
        <v>Needs</v>
      </c>
      <c r="G580" s="152" t="s">
        <v>213</v>
      </c>
      <c r="H580" s="154"/>
      <c r="I580" s="154"/>
    </row>
    <row r="581" spans="1:9" s="152" customFormat="1" x14ac:dyDescent="0.3">
      <c r="A581" s="167" t="str">
        <f t="shared" si="124"/>
        <v>2025 01 (Jan)</v>
      </c>
      <c r="B581" s="164">
        <v>45659</v>
      </c>
      <c r="C581" s="163" t="str">
        <f t="shared" si="121"/>
        <v>Thursday</v>
      </c>
      <c r="D581" s="152" t="s">
        <v>67</v>
      </c>
      <c r="E581" s="153">
        <f>95+119</f>
        <v>214</v>
      </c>
      <c r="F581" s="152" t="str">
        <f>VLOOKUP(G581,'Expenses Reference'!$A$1:$B$23,2, FALSE)</f>
        <v>Needs</v>
      </c>
      <c r="G581" s="152" t="s">
        <v>35</v>
      </c>
      <c r="H581" s="154"/>
      <c r="I581" s="154"/>
    </row>
    <row r="582" spans="1:9" s="152" customFormat="1" x14ac:dyDescent="0.3">
      <c r="A582" s="167" t="str">
        <f t="shared" si="124"/>
        <v>2025 01 (Jan)</v>
      </c>
      <c r="B582" s="164">
        <v>45659</v>
      </c>
      <c r="C582" s="163" t="str">
        <f t="shared" si="121"/>
        <v>Thursday</v>
      </c>
      <c r="D582" s="152" t="s">
        <v>462</v>
      </c>
      <c r="E582" s="153">
        <f>815/3</f>
        <v>271.66666666666669</v>
      </c>
      <c r="F582" s="152" t="str">
        <f>VLOOKUP(G582,'Expenses Reference'!$A$1:$B$23,2, FALSE)</f>
        <v>Wants</v>
      </c>
      <c r="G582" s="152" t="s">
        <v>81</v>
      </c>
      <c r="H582" s="154" t="s">
        <v>479</v>
      </c>
      <c r="I582" s="154" t="s">
        <v>461</v>
      </c>
    </row>
    <row r="583" spans="1:9" s="152" customFormat="1" x14ac:dyDescent="0.3">
      <c r="A583" s="167" t="str">
        <f t="shared" si="124"/>
        <v>2025 01 (Jan)</v>
      </c>
      <c r="B583" s="164">
        <v>45659</v>
      </c>
      <c r="C583" s="163" t="str">
        <f t="shared" si="121"/>
        <v>Thursday</v>
      </c>
      <c r="D583" s="152" t="s">
        <v>463</v>
      </c>
      <c r="E583" s="153">
        <f>10333-8913</f>
        <v>1420</v>
      </c>
      <c r="F583" s="152" t="str">
        <f>VLOOKUP(G583,'Expenses Reference'!$A$1:$B$23,2, FALSE)</f>
        <v>Needs</v>
      </c>
      <c r="G583" s="152" t="s">
        <v>34</v>
      </c>
      <c r="H583" s="154"/>
      <c r="I583" s="154"/>
    </row>
    <row r="584" spans="1:9" x14ac:dyDescent="0.3">
      <c r="A584" s="107" t="str">
        <f t="shared" si="124"/>
        <v>2025 01 (Jan)</v>
      </c>
      <c r="B584" s="165">
        <v>45660</v>
      </c>
      <c r="C584" s="162" t="str">
        <f t="shared" si="121"/>
        <v>Friday</v>
      </c>
      <c r="D584" t="s">
        <v>217</v>
      </c>
      <c r="E584" s="2">
        <v>15000</v>
      </c>
      <c r="F584" t="str">
        <f>VLOOKUP(G584,'Expenses Reference'!$A$1:$B$23,2, FALSE)</f>
        <v>Investments</v>
      </c>
      <c r="G584" t="s">
        <v>217</v>
      </c>
    </row>
    <row r="585" spans="1:9" x14ac:dyDescent="0.3">
      <c r="A585" s="107" t="str">
        <f t="shared" si="124"/>
        <v>2025 01 (Jan)</v>
      </c>
      <c r="B585" s="165">
        <v>45660</v>
      </c>
      <c r="C585" s="162" t="str">
        <f t="shared" si="121"/>
        <v>Friday</v>
      </c>
      <c r="D585" t="s">
        <v>460</v>
      </c>
      <c r="E585" s="2">
        <v>43</v>
      </c>
      <c r="F585" t="str">
        <f>VLOOKUP(G585,'Expenses Reference'!$A$1:$B$23,2, FALSE)</f>
        <v>Needs</v>
      </c>
      <c r="G585" t="s">
        <v>213</v>
      </c>
    </row>
    <row r="586" spans="1:9" x14ac:dyDescent="0.3">
      <c r="A586" s="107" t="str">
        <f t="shared" si="124"/>
        <v>2025 01 (Jan)</v>
      </c>
      <c r="B586" s="165">
        <v>45660</v>
      </c>
      <c r="C586" s="162" t="str">
        <f t="shared" si="121"/>
        <v>Friday</v>
      </c>
      <c r="D586" t="s">
        <v>207</v>
      </c>
      <c r="E586" s="2">
        <v>28</v>
      </c>
      <c r="F586" t="str">
        <f>VLOOKUP(G586,'Expenses Reference'!$A$1:$B$23,2, FALSE)</f>
        <v>Needs</v>
      </c>
      <c r="G586" t="s">
        <v>213</v>
      </c>
    </row>
    <row r="587" spans="1:9" x14ac:dyDescent="0.3">
      <c r="A587" s="107" t="str">
        <f t="shared" si="124"/>
        <v>2025 01 (Jan)</v>
      </c>
      <c r="B587" s="165">
        <v>45660</v>
      </c>
      <c r="C587" s="162" t="str">
        <f t="shared" si="121"/>
        <v>Friday</v>
      </c>
      <c r="D587" t="s">
        <v>464</v>
      </c>
      <c r="E587" s="2">
        <v>2984</v>
      </c>
      <c r="F587" t="str">
        <f>VLOOKUP(G587,'Expenses Reference'!$A$1:$B$23,2, FALSE)</f>
        <v>Wants</v>
      </c>
      <c r="G587" t="s">
        <v>288</v>
      </c>
    </row>
    <row r="588" spans="1:9" x14ac:dyDescent="0.3">
      <c r="A588" s="107" t="str">
        <f t="shared" si="124"/>
        <v>2025 01 (Jan)</v>
      </c>
      <c r="B588" s="165">
        <v>45660</v>
      </c>
      <c r="C588" s="162" t="str">
        <f t="shared" si="121"/>
        <v>Friday</v>
      </c>
      <c r="D588" t="s">
        <v>65</v>
      </c>
      <c r="E588" s="2">
        <v>434</v>
      </c>
      <c r="F588" t="str">
        <f>VLOOKUP(G588,'Expenses Reference'!$A$1:$B$23,2, FALSE)</f>
        <v>Wants</v>
      </c>
      <c r="G588" t="s">
        <v>81</v>
      </c>
    </row>
    <row r="589" spans="1:9" x14ac:dyDescent="0.3">
      <c r="A589" s="107" t="str">
        <f t="shared" si="124"/>
        <v>2025 01 (Jan)</v>
      </c>
      <c r="B589" s="165">
        <v>45660</v>
      </c>
      <c r="C589" s="162" t="str">
        <f t="shared" si="121"/>
        <v>Friday</v>
      </c>
      <c r="D589" t="s">
        <v>466</v>
      </c>
      <c r="E589" s="2">
        <v>53</v>
      </c>
      <c r="F589" t="str">
        <f>VLOOKUP(G589,'Expenses Reference'!$A$1:$B$23,2, FALSE)</f>
        <v>Wants</v>
      </c>
      <c r="G589" t="s">
        <v>203</v>
      </c>
      <c r="H589" s="1" t="s">
        <v>501</v>
      </c>
      <c r="I589" s="1" t="s">
        <v>467</v>
      </c>
    </row>
    <row r="590" spans="1:9" s="152" customFormat="1" x14ac:dyDescent="0.3">
      <c r="A590" s="167" t="str">
        <f t="shared" si="124"/>
        <v>2025 01 (Jan)</v>
      </c>
      <c r="B590" s="164">
        <v>45661</v>
      </c>
      <c r="C590" s="163" t="str">
        <f t="shared" si="121"/>
        <v>Saturday</v>
      </c>
      <c r="D590" s="152" t="s">
        <v>465</v>
      </c>
      <c r="E590" s="153">
        <v>53</v>
      </c>
      <c r="F590" s="152" t="str">
        <f>VLOOKUP(G590,'Expenses Reference'!$A$1:$B$23,2, FALSE)</f>
        <v>Wants</v>
      </c>
      <c r="G590" s="152" t="s">
        <v>84</v>
      </c>
      <c r="H590" s="154" t="s">
        <v>357</v>
      </c>
      <c r="I590" s="154"/>
    </row>
    <row r="591" spans="1:9" s="152" customFormat="1" x14ac:dyDescent="0.3">
      <c r="A591" s="167" t="str">
        <f t="shared" si="124"/>
        <v>2025 01 (Jan)</v>
      </c>
      <c r="B591" s="164">
        <v>45661</v>
      </c>
      <c r="C591" s="163" t="str">
        <f t="shared" si="121"/>
        <v>Saturday</v>
      </c>
      <c r="D591" s="152" t="s">
        <v>65</v>
      </c>
      <c r="E591" s="153">
        <v>222</v>
      </c>
      <c r="F591" s="152" t="str">
        <f>VLOOKUP(G591,'Expenses Reference'!$A$1:$B$23,2, FALSE)</f>
        <v>Wants</v>
      </c>
      <c r="G591" s="152" t="s">
        <v>81</v>
      </c>
      <c r="H591" s="154"/>
      <c r="I591" s="154"/>
    </row>
    <row r="592" spans="1:9" s="152" customFormat="1" x14ac:dyDescent="0.3">
      <c r="A592" s="167" t="str">
        <f t="shared" si="124"/>
        <v>2025 01 (Jan)</v>
      </c>
      <c r="B592" s="164">
        <v>45661</v>
      </c>
      <c r="C592" s="163" t="str">
        <f t="shared" si="121"/>
        <v>Saturday</v>
      </c>
      <c r="D592" s="152" t="s">
        <v>468</v>
      </c>
      <c r="E592" s="153">
        <v>41</v>
      </c>
      <c r="F592" s="152" t="str">
        <f>VLOOKUP(G592,'Expenses Reference'!$A$1:$B$23,2, FALSE)</f>
        <v>Wants</v>
      </c>
      <c r="G592" s="152" t="s">
        <v>84</v>
      </c>
      <c r="H592" s="154"/>
      <c r="I592" s="154"/>
    </row>
    <row r="593" spans="1:9" s="152" customFormat="1" x14ac:dyDescent="0.3">
      <c r="A593" s="167" t="str">
        <f t="shared" si="124"/>
        <v>2025 01 (Jan)</v>
      </c>
      <c r="B593" s="164">
        <v>45661</v>
      </c>
      <c r="C593" s="163" t="str">
        <f t="shared" si="121"/>
        <v>Saturday</v>
      </c>
      <c r="D593" s="152" t="s">
        <v>469</v>
      </c>
      <c r="E593" s="153">
        <v>35</v>
      </c>
      <c r="F593" s="152" t="str">
        <f>VLOOKUP(G593,'Expenses Reference'!$A$1:$B$23,2, FALSE)</f>
        <v>Wants</v>
      </c>
      <c r="G593" s="152" t="s">
        <v>81</v>
      </c>
      <c r="H593" s="154"/>
      <c r="I593" s="154"/>
    </row>
    <row r="594" spans="1:9" s="152" customFormat="1" x14ac:dyDescent="0.3">
      <c r="A594" s="167" t="str">
        <f t="shared" si="124"/>
        <v>2025 01 (Jan)</v>
      </c>
      <c r="B594" s="164">
        <v>45661</v>
      </c>
      <c r="C594" s="163" t="str">
        <f t="shared" ref="C594:C595" si="125">CHOOSE(WEEKDAY(B594),"Sunday","Monday","Tuesday","Wednesday","Thursday","Friday","Saturday")</f>
        <v>Saturday</v>
      </c>
      <c r="D594" s="152" t="s">
        <v>445</v>
      </c>
      <c r="E594" s="153">
        <v>100</v>
      </c>
      <c r="F594" s="152" t="str">
        <f>VLOOKUP(G594,'Expenses Reference'!$A$1:$B$23,2, FALSE)</f>
        <v>Wants</v>
      </c>
      <c r="G594" s="152" t="s">
        <v>84</v>
      </c>
      <c r="H594" s="154" t="s">
        <v>501</v>
      </c>
      <c r="I594" s="154"/>
    </row>
    <row r="595" spans="1:9" s="152" customFormat="1" x14ac:dyDescent="0.3">
      <c r="A595" s="167" t="str">
        <f t="shared" si="124"/>
        <v>2025 01 (Jan)</v>
      </c>
      <c r="B595" s="164">
        <v>45661</v>
      </c>
      <c r="C595" s="163" t="str">
        <f t="shared" si="125"/>
        <v>Saturday</v>
      </c>
      <c r="D595" s="152" t="s">
        <v>470</v>
      </c>
      <c r="E595" s="153">
        <v>364</v>
      </c>
      <c r="F595" s="152" t="str">
        <f>VLOOKUP(G595,'Expenses Reference'!$A$1:$B$23,2, FALSE)</f>
        <v>Wants</v>
      </c>
      <c r="G595" s="152" t="s">
        <v>81</v>
      </c>
      <c r="H595" s="154"/>
      <c r="I595" s="154"/>
    </row>
    <row r="596" spans="1:9" s="152" customFormat="1" x14ac:dyDescent="0.3">
      <c r="A596" s="167" t="str">
        <f t="shared" si="124"/>
        <v>2025 01 (Jan)</v>
      </c>
      <c r="B596" s="164">
        <v>45661</v>
      </c>
      <c r="C596" s="163" t="str">
        <f t="shared" si="121"/>
        <v>Saturday</v>
      </c>
      <c r="D596" s="152" t="s">
        <v>321</v>
      </c>
      <c r="E596" s="153">
        <v>47</v>
      </c>
      <c r="F596" s="152" t="str">
        <f>VLOOKUP(G596,'Expenses Reference'!$A$1:$B$23,2, FALSE)</f>
        <v>Wants</v>
      </c>
      <c r="G596" s="152" t="s">
        <v>84</v>
      </c>
      <c r="H596" s="154" t="s">
        <v>501</v>
      </c>
      <c r="I596" s="154"/>
    </row>
    <row r="597" spans="1:9" x14ac:dyDescent="0.3">
      <c r="A597" s="107" t="str">
        <f t="shared" si="124"/>
        <v>2025 01 (Jan)</v>
      </c>
      <c r="B597" s="165">
        <v>45662</v>
      </c>
      <c r="C597" s="162" t="str">
        <f t="shared" si="121"/>
        <v>Sunday</v>
      </c>
      <c r="D597" t="s">
        <v>66</v>
      </c>
      <c r="E597" s="2">
        <v>502</v>
      </c>
      <c r="F597" t="str">
        <f>VLOOKUP(G597,'Expenses Reference'!$A$1:$B$23,2, FALSE)</f>
        <v>Wants</v>
      </c>
      <c r="G597" t="s">
        <v>81</v>
      </c>
    </row>
    <row r="598" spans="1:9" x14ac:dyDescent="0.3">
      <c r="A598" s="107" t="str">
        <f t="shared" si="124"/>
        <v>2025 01 (Jan)</v>
      </c>
      <c r="B598" s="165">
        <v>45662</v>
      </c>
      <c r="C598" s="162" t="str">
        <f t="shared" si="121"/>
        <v>Sunday</v>
      </c>
      <c r="D598" t="s">
        <v>357</v>
      </c>
      <c r="E598" s="2">
        <v>310</v>
      </c>
      <c r="F598" t="str">
        <f>VLOOKUP(G598,'Expenses Reference'!$A$1:$B$23,2, FALSE)</f>
        <v>Wants</v>
      </c>
      <c r="G598" t="s">
        <v>203</v>
      </c>
      <c r="H598" s="1" t="s">
        <v>357</v>
      </c>
      <c r="I598" s="1" t="s">
        <v>477</v>
      </c>
    </row>
    <row r="599" spans="1:9" x14ac:dyDescent="0.3">
      <c r="A599" s="107" t="str">
        <f t="shared" si="124"/>
        <v>2025 01 (Jan)</v>
      </c>
      <c r="B599" s="165">
        <v>45662</v>
      </c>
      <c r="C599" s="162" t="str">
        <f t="shared" si="121"/>
        <v>Sunday</v>
      </c>
      <c r="D599" t="s">
        <v>357</v>
      </c>
      <c r="E599" s="2">
        <v>205</v>
      </c>
      <c r="F599" t="str">
        <f>VLOOKUP(G599,'Expenses Reference'!$A$1:$B$23,2, FALSE)</f>
        <v>Wants</v>
      </c>
      <c r="G599" t="s">
        <v>203</v>
      </c>
      <c r="H599" s="1" t="s">
        <v>357</v>
      </c>
      <c r="I599" s="1" t="s">
        <v>477</v>
      </c>
    </row>
    <row r="600" spans="1:9" s="152" customFormat="1" x14ac:dyDescent="0.3">
      <c r="A600" s="167" t="str">
        <f t="shared" si="124"/>
        <v>2025 01 (Jan)</v>
      </c>
      <c r="B600" s="164">
        <v>45663</v>
      </c>
      <c r="C600" s="163" t="str">
        <f t="shared" ref="C600:C624" si="126">CHOOSE(WEEKDAY(B600),"Sunday","Monday","Tuesday","Wednesday","Thursday","Friday","Saturday")</f>
        <v>Monday</v>
      </c>
      <c r="D600" s="152" t="s">
        <v>460</v>
      </c>
      <c r="E600" s="153">
        <v>56</v>
      </c>
      <c r="F600" s="152" t="str">
        <f>VLOOKUP(G600,'Expenses Reference'!$A$1:$B$23,2, FALSE)</f>
        <v>Needs</v>
      </c>
      <c r="G600" s="152" t="s">
        <v>213</v>
      </c>
      <c r="H600" s="154"/>
      <c r="I600" s="154"/>
    </row>
    <row r="601" spans="1:9" s="152" customFormat="1" x14ac:dyDescent="0.3">
      <c r="A601" s="167" t="str">
        <f t="shared" si="124"/>
        <v>2025 01 (Jan)</v>
      </c>
      <c r="B601" s="164">
        <v>45663</v>
      </c>
      <c r="C601" s="163" t="str">
        <f t="shared" si="126"/>
        <v>Monday</v>
      </c>
      <c r="D601" s="152" t="s">
        <v>478</v>
      </c>
      <c r="E601" s="153">
        <v>1032</v>
      </c>
      <c r="F601" s="152" t="str">
        <f>VLOOKUP(G601,'Expenses Reference'!$A$1:$B$23,2, FALSE)</f>
        <v>Needs</v>
      </c>
      <c r="G601" s="152" t="s">
        <v>35</v>
      </c>
      <c r="H601" s="154"/>
      <c r="I601" s="154"/>
    </row>
    <row r="602" spans="1:9" s="152" customFormat="1" x14ac:dyDescent="0.3">
      <c r="A602" s="167" t="str">
        <f t="shared" si="124"/>
        <v>2025 01 (Jan)</v>
      </c>
      <c r="B602" s="164">
        <v>45663</v>
      </c>
      <c r="C602" s="163" t="str">
        <f t="shared" si="126"/>
        <v>Monday</v>
      </c>
      <c r="D602" s="152" t="s">
        <v>65</v>
      </c>
      <c r="E602" s="153">
        <v>732</v>
      </c>
      <c r="F602" s="152" t="str">
        <f>VLOOKUP(G602,'Expenses Reference'!$A$1:$B$23,2, FALSE)</f>
        <v>Wants</v>
      </c>
      <c r="G602" s="152" t="s">
        <v>81</v>
      </c>
      <c r="H602" s="154"/>
      <c r="I602" s="154"/>
    </row>
    <row r="603" spans="1:9" x14ac:dyDescent="0.3">
      <c r="A603" s="107" t="str">
        <f t="shared" si="124"/>
        <v>2025 01 (Jan)</v>
      </c>
      <c r="B603" s="165">
        <v>45664</v>
      </c>
      <c r="C603" s="162" t="str">
        <f t="shared" si="126"/>
        <v>Tuesday</v>
      </c>
      <c r="D603" t="s">
        <v>65</v>
      </c>
      <c r="E603" s="2">
        <v>805</v>
      </c>
      <c r="F603" t="str">
        <f>VLOOKUP(G603,'Expenses Reference'!$A$1:$B$23,2, FALSE)</f>
        <v>Wants</v>
      </c>
      <c r="G603" t="s">
        <v>81</v>
      </c>
    </row>
    <row r="604" spans="1:9" x14ac:dyDescent="0.3">
      <c r="A604" s="107" t="str">
        <f t="shared" si="124"/>
        <v>2025 01 (Jan)</v>
      </c>
      <c r="B604" s="165">
        <v>45664</v>
      </c>
      <c r="C604" s="162" t="str">
        <f t="shared" si="126"/>
        <v>Tuesday</v>
      </c>
      <c r="D604" t="s">
        <v>136</v>
      </c>
      <c r="E604" s="2">
        <v>119</v>
      </c>
      <c r="F604" t="str">
        <f>VLOOKUP(G604,'Expenses Reference'!$A$1:$B$23,2, FALSE)</f>
        <v>Wants</v>
      </c>
      <c r="G604" t="s">
        <v>54</v>
      </c>
    </row>
    <row r="605" spans="1:9" s="152" customFormat="1" x14ac:dyDescent="0.3">
      <c r="A605" s="167" t="str">
        <f t="shared" si="124"/>
        <v>2025 01 (Jan)</v>
      </c>
      <c r="B605" s="164">
        <v>45665</v>
      </c>
      <c r="C605" s="163" t="str">
        <f t="shared" si="126"/>
        <v>Wednesday</v>
      </c>
      <c r="D605" s="152" t="s">
        <v>281</v>
      </c>
      <c r="E605" s="153">
        <v>94</v>
      </c>
      <c r="F605" s="152" t="str">
        <f>VLOOKUP(G605,'Expenses Reference'!$A$1:$B$23,2, FALSE)</f>
        <v>Needs</v>
      </c>
      <c r="G605" s="152" t="s">
        <v>213</v>
      </c>
      <c r="H605" s="154"/>
      <c r="I605" s="154"/>
    </row>
    <row r="606" spans="1:9" s="152" customFormat="1" x14ac:dyDescent="0.3">
      <c r="A606" s="167" t="str">
        <f t="shared" si="124"/>
        <v>2025 01 (Jan)</v>
      </c>
      <c r="B606" s="164">
        <v>45665</v>
      </c>
      <c r="C606" s="163" t="str">
        <f t="shared" si="126"/>
        <v>Wednesday</v>
      </c>
      <c r="D606" s="152" t="s">
        <v>321</v>
      </c>
      <c r="E606" s="153">
        <v>48</v>
      </c>
      <c r="F606" s="152" t="str">
        <f>VLOOKUP(G606,'Expenses Reference'!$A$1:$B$23,2, FALSE)</f>
        <v>Needs</v>
      </c>
      <c r="G606" s="152" t="s">
        <v>213</v>
      </c>
      <c r="H606" s="154"/>
      <c r="I606" s="154"/>
    </row>
    <row r="607" spans="1:9" x14ac:dyDescent="0.3">
      <c r="A607" s="107" t="str">
        <f t="shared" si="124"/>
        <v>2025 01 (Jan)</v>
      </c>
      <c r="B607" s="165">
        <v>45666</v>
      </c>
      <c r="C607" s="162" t="str">
        <f t="shared" si="126"/>
        <v>Thursday</v>
      </c>
      <c r="D607" t="s">
        <v>281</v>
      </c>
      <c r="E607" s="2">
        <v>50</v>
      </c>
      <c r="F607" t="str">
        <f>VLOOKUP(G607,'Expenses Reference'!$A$1:$B$23,2, FALSE)</f>
        <v>Needs</v>
      </c>
      <c r="G607" t="s">
        <v>213</v>
      </c>
    </row>
    <row r="608" spans="1:9" x14ac:dyDescent="0.3">
      <c r="A608" s="107" t="str">
        <f t="shared" si="124"/>
        <v>2025 01 (Jan)</v>
      </c>
      <c r="B608" s="165">
        <v>45666</v>
      </c>
      <c r="C608" s="162" t="str">
        <f t="shared" si="126"/>
        <v>Thursday</v>
      </c>
      <c r="D608" t="s">
        <v>480</v>
      </c>
      <c r="E608" s="2">
        <v>534</v>
      </c>
      <c r="F608" t="str">
        <f>VLOOKUP(G608,'Expenses Reference'!$A$1:$B$23,2, FALSE)</f>
        <v>Needs</v>
      </c>
      <c r="G608" t="s">
        <v>82</v>
      </c>
    </row>
    <row r="609" spans="1:9" x14ac:dyDescent="0.3">
      <c r="A609" s="107" t="str">
        <f t="shared" si="124"/>
        <v>2025 01 (Jan)</v>
      </c>
      <c r="B609" s="165">
        <v>45666</v>
      </c>
      <c r="C609" s="162" t="str">
        <f t="shared" si="126"/>
        <v>Thursday</v>
      </c>
      <c r="D609" t="s">
        <v>67</v>
      </c>
      <c r="E609" s="2">
        <v>110</v>
      </c>
      <c r="F609" t="str">
        <f>VLOOKUP(G609,'Expenses Reference'!$A$1:$B$23,2, FALSE)</f>
        <v>Needs</v>
      </c>
      <c r="G609" t="s">
        <v>35</v>
      </c>
    </row>
    <row r="610" spans="1:9" s="152" customFormat="1" x14ac:dyDescent="0.3">
      <c r="A610" s="167" t="str">
        <f t="shared" si="124"/>
        <v>2025 01 (Jan)</v>
      </c>
      <c r="B610" s="164">
        <v>45667</v>
      </c>
      <c r="C610" s="163" t="str">
        <f t="shared" si="126"/>
        <v>Friday</v>
      </c>
      <c r="D610" s="152" t="s">
        <v>65</v>
      </c>
      <c r="E610" s="153">
        <v>519</v>
      </c>
      <c r="F610" s="152" t="str">
        <f>VLOOKUP(G610,'Expenses Reference'!$A$1:$B$23,2, FALSE)</f>
        <v>Wants</v>
      </c>
      <c r="G610" s="152" t="s">
        <v>81</v>
      </c>
      <c r="H610" s="154"/>
      <c r="I610" s="154"/>
    </row>
    <row r="611" spans="1:9" s="152" customFormat="1" x14ac:dyDescent="0.3">
      <c r="A611" s="167" t="str">
        <f t="shared" si="124"/>
        <v>2025 01 (Jan)</v>
      </c>
      <c r="B611" s="164">
        <v>45667</v>
      </c>
      <c r="C611" s="163" t="str">
        <f t="shared" si="126"/>
        <v>Friday</v>
      </c>
      <c r="D611" s="152" t="s">
        <v>281</v>
      </c>
      <c r="E611" s="153">
        <v>54</v>
      </c>
      <c r="F611" s="152" t="str">
        <f>VLOOKUP(G611,'Expenses Reference'!$A$1:$B$23,2, FALSE)</f>
        <v>Needs</v>
      </c>
      <c r="G611" s="152" t="s">
        <v>213</v>
      </c>
      <c r="H611" s="154"/>
      <c r="I611" s="154"/>
    </row>
    <row r="612" spans="1:9" x14ac:dyDescent="0.3">
      <c r="A612" s="107" t="str">
        <f t="shared" si="124"/>
        <v>2025 01 (Jan)</v>
      </c>
      <c r="B612" s="165">
        <v>45668</v>
      </c>
      <c r="C612" s="162" t="str">
        <f t="shared" si="126"/>
        <v>Saturday</v>
      </c>
      <c r="D612" t="s">
        <v>481</v>
      </c>
      <c r="E612" s="2">
        <v>310</v>
      </c>
      <c r="F612" t="str">
        <f>VLOOKUP(G612,'Expenses Reference'!$A$1:$B$23,2, FALSE)</f>
        <v>Wants</v>
      </c>
      <c r="G612" t="s">
        <v>81</v>
      </c>
      <c r="I612" s="1" t="s">
        <v>482</v>
      </c>
    </row>
    <row r="613" spans="1:9" x14ac:dyDescent="0.3">
      <c r="A613" s="107" t="str">
        <f t="shared" si="124"/>
        <v>2025 01 (Jan)</v>
      </c>
      <c r="B613" s="165">
        <v>45668</v>
      </c>
      <c r="C613" s="162" t="str">
        <f t="shared" si="126"/>
        <v>Saturday</v>
      </c>
      <c r="D613" t="s">
        <v>483</v>
      </c>
      <c r="E613" s="2">
        <v>120</v>
      </c>
      <c r="F613" t="str">
        <f>VLOOKUP(G613,'Expenses Reference'!$A$1:$B$23,2, FALSE)</f>
        <v>Wants</v>
      </c>
      <c r="G613" t="s">
        <v>81</v>
      </c>
    </row>
    <row r="614" spans="1:9" x14ac:dyDescent="0.3">
      <c r="A614" s="107" t="str">
        <f t="shared" si="124"/>
        <v>2025 01 (Jan)</v>
      </c>
      <c r="B614" s="165">
        <v>45668</v>
      </c>
      <c r="C614" s="162" t="str">
        <f t="shared" si="126"/>
        <v>Saturday</v>
      </c>
      <c r="D614" t="s">
        <v>65</v>
      </c>
      <c r="E614" s="2">
        <v>595</v>
      </c>
      <c r="F614" t="str">
        <f>VLOOKUP(G614,'Expenses Reference'!$A$1:$B$23,2, FALSE)</f>
        <v>Wants</v>
      </c>
      <c r="G614" t="s">
        <v>81</v>
      </c>
    </row>
    <row r="615" spans="1:9" s="152" customFormat="1" x14ac:dyDescent="0.3">
      <c r="A615" s="167" t="str">
        <f t="shared" si="124"/>
        <v>2025 01 (Jan)</v>
      </c>
      <c r="B615" s="164">
        <v>45669</v>
      </c>
      <c r="C615" s="163" t="str">
        <f t="shared" si="126"/>
        <v>Sunday</v>
      </c>
      <c r="D615" s="152" t="s">
        <v>65</v>
      </c>
      <c r="E615" s="153">
        <v>805</v>
      </c>
      <c r="F615" s="152" t="str">
        <f>VLOOKUP(G615,'Expenses Reference'!$A$1:$B$23,2, FALSE)</f>
        <v>Wants</v>
      </c>
      <c r="G615" s="152" t="s">
        <v>81</v>
      </c>
      <c r="H615" s="154"/>
      <c r="I615" s="154"/>
    </row>
    <row r="616" spans="1:9" s="152" customFormat="1" x14ac:dyDescent="0.3">
      <c r="A616" s="167" t="str">
        <f t="shared" si="124"/>
        <v>2025 01 (Jan)</v>
      </c>
      <c r="B616" s="164">
        <v>45669</v>
      </c>
      <c r="C616" s="163" t="str">
        <f t="shared" si="126"/>
        <v>Sunday</v>
      </c>
      <c r="D616" s="152" t="s">
        <v>484</v>
      </c>
      <c r="E616" s="153">
        <v>40</v>
      </c>
      <c r="F616" s="152" t="str">
        <f>VLOOKUP(G616,'Expenses Reference'!$A$1:$B$23,2, FALSE)</f>
        <v>Needs</v>
      </c>
      <c r="G616" s="152" t="s">
        <v>34</v>
      </c>
      <c r="H616" s="154"/>
      <c r="I616" s="154"/>
    </row>
    <row r="617" spans="1:9" x14ac:dyDescent="0.3">
      <c r="A617" s="107" t="str">
        <f t="shared" si="124"/>
        <v>2025 01 (Jan)</v>
      </c>
      <c r="B617" s="165">
        <v>45670</v>
      </c>
      <c r="C617" s="162" t="str">
        <f t="shared" si="126"/>
        <v>Monday</v>
      </c>
      <c r="D617" t="s">
        <v>344</v>
      </c>
      <c r="E617" s="2">
        <v>29</v>
      </c>
      <c r="F617" t="str">
        <f>VLOOKUP(G617,'Expenses Reference'!$A$1:$B$23,2, FALSE)</f>
        <v>Wants</v>
      </c>
      <c r="G617" t="s">
        <v>54</v>
      </c>
    </row>
    <row r="618" spans="1:9" x14ac:dyDescent="0.3">
      <c r="A618" s="107" t="str">
        <f t="shared" si="124"/>
        <v>2025 01 (Jan)</v>
      </c>
      <c r="B618" s="165">
        <v>45670</v>
      </c>
      <c r="C618" s="162" t="str">
        <f t="shared" si="126"/>
        <v>Monday</v>
      </c>
      <c r="D618" t="s">
        <v>281</v>
      </c>
      <c r="E618" s="2">
        <v>47</v>
      </c>
      <c r="F618" t="str">
        <f>VLOOKUP(G618,'Expenses Reference'!$A$1:$B$23,2, FALSE)</f>
        <v>Needs</v>
      </c>
      <c r="G618" t="s">
        <v>213</v>
      </c>
    </row>
    <row r="619" spans="1:9" x14ac:dyDescent="0.3">
      <c r="A619" s="107" t="str">
        <f t="shared" si="124"/>
        <v>2025 01 (Jan)</v>
      </c>
      <c r="B619" s="165">
        <v>45670</v>
      </c>
      <c r="C619" s="162" t="str">
        <f t="shared" si="126"/>
        <v>Monday</v>
      </c>
      <c r="D619" t="s">
        <v>485</v>
      </c>
      <c r="E619" s="2">
        <f>204+196</f>
        <v>400</v>
      </c>
      <c r="F619" t="str">
        <f>VLOOKUP(G619,'Expenses Reference'!$A$1:$B$23,2, FALSE)</f>
        <v>Wants</v>
      </c>
      <c r="G619" t="s">
        <v>215</v>
      </c>
      <c r="H619" s="1" t="s">
        <v>357</v>
      </c>
    </row>
    <row r="620" spans="1:9" x14ac:dyDescent="0.3">
      <c r="A620" s="107" t="str">
        <f t="shared" si="124"/>
        <v>2025 01 (Jan)</v>
      </c>
      <c r="B620" s="165">
        <v>45670</v>
      </c>
      <c r="C620" s="162" t="str">
        <f t="shared" si="126"/>
        <v>Monday</v>
      </c>
      <c r="D620" t="s">
        <v>67</v>
      </c>
      <c r="E620" s="2">
        <v>195</v>
      </c>
      <c r="F620" t="str">
        <f>VLOOKUP(G620,'Expenses Reference'!$A$1:$B$23,2, FALSE)</f>
        <v>Needs</v>
      </c>
      <c r="G620" t="s">
        <v>35</v>
      </c>
    </row>
    <row r="621" spans="1:9" s="152" customFormat="1" x14ac:dyDescent="0.3">
      <c r="A621" s="167" t="str">
        <f t="shared" si="124"/>
        <v>2025 01 (Jan)</v>
      </c>
      <c r="B621" s="164">
        <v>45671</v>
      </c>
      <c r="C621" s="163" t="str">
        <f t="shared" si="126"/>
        <v>Tuesday</v>
      </c>
      <c r="D621" s="152" t="s">
        <v>66</v>
      </c>
      <c r="E621" s="153">
        <f>350+650/3</f>
        <v>566.66666666666663</v>
      </c>
      <c r="F621" s="152" t="str">
        <f>VLOOKUP(G621,'Expenses Reference'!$A$1:$B$23,2, FALSE)</f>
        <v>Needs</v>
      </c>
      <c r="G621" s="152" t="s">
        <v>119</v>
      </c>
      <c r="H621" s="154"/>
      <c r="I621" s="154"/>
    </row>
    <row r="622" spans="1:9" s="152" customFormat="1" x14ac:dyDescent="0.3">
      <c r="A622" s="167" t="str">
        <f t="shared" si="124"/>
        <v>2025 01 (Jan)</v>
      </c>
      <c r="B622" s="164">
        <v>45671</v>
      </c>
      <c r="C622" s="163" t="str">
        <f t="shared" ref="C622" si="127">CHOOSE(WEEKDAY(B622),"Sunday","Monday","Tuesday","Wednesday","Thursday","Friday","Saturday")</f>
        <v>Tuesday</v>
      </c>
      <c r="D622" s="152" t="s">
        <v>65</v>
      </c>
      <c r="E622" s="153">
        <v>525</v>
      </c>
      <c r="F622" s="152" t="str">
        <f>VLOOKUP(G622,'Expenses Reference'!$A$1:$B$23,2, FALSE)</f>
        <v>Needs</v>
      </c>
      <c r="G622" s="152" t="s">
        <v>119</v>
      </c>
      <c r="H622" s="154"/>
      <c r="I622" s="154" t="s">
        <v>488</v>
      </c>
    </row>
    <row r="623" spans="1:9" s="152" customFormat="1" x14ac:dyDescent="0.3">
      <c r="A623" s="167" t="str">
        <f t="shared" si="124"/>
        <v>2025 01 (Jan)</v>
      </c>
      <c r="B623" s="164">
        <v>45671</v>
      </c>
      <c r="C623" s="163" t="str">
        <f t="shared" ref="C623" si="128">CHOOSE(WEEKDAY(B623),"Sunday","Monday","Tuesday","Wednesday","Thursday","Friday","Saturday")</f>
        <v>Tuesday</v>
      </c>
      <c r="D623" s="152" t="s">
        <v>486</v>
      </c>
      <c r="E623" s="153">
        <f>22405/2</f>
        <v>11202.5</v>
      </c>
      <c r="F623" s="152" t="str">
        <f>VLOOKUP(G623,'Expenses Reference'!$A$1:$B$23,2, FALSE)</f>
        <v>Needs</v>
      </c>
      <c r="G623" s="152" t="s">
        <v>119</v>
      </c>
      <c r="H623" s="154" t="s">
        <v>490</v>
      </c>
      <c r="I623" s="154"/>
    </row>
    <row r="624" spans="1:9" s="152" customFormat="1" x14ac:dyDescent="0.3">
      <c r="A624" s="167" t="str">
        <f t="shared" si="124"/>
        <v>2025 01 (Jan)</v>
      </c>
      <c r="B624" s="164">
        <v>45671</v>
      </c>
      <c r="C624" s="163" t="str">
        <f t="shared" si="126"/>
        <v>Tuesday</v>
      </c>
      <c r="D624" s="152" t="s">
        <v>487</v>
      </c>
      <c r="E624" s="153">
        <f>28670/5</f>
        <v>5734</v>
      </c>
      <c r="F624" s="152" t="str">
        <f>VLOOKUP(G624,'Expenses Reference'!$A$1:$B$23,2, FALSE)</f>
        <v>Needs</v>
      </c>
      <c r="G624" s="152" t="s">
        <v>119</v>
      </c>
      <c r="H624" s="154" t="s">
        <v>490</v>
      </c>
      <c r="I624" s="154"/>
    </row>
    <row r="625" spans="1:9" x14ac:dyDescent="0.3">
      <c r="A625" s="107" t="str">
        <f t="shared" si="124"/>
        <v>2025 01 (Jan)</v>
      </c>
      <c r="B625" s="165">
        <v>45672</v>
      </c>
      <c r="C625" s="162" t="str">
        <f t="shared" ref="C625" si="129">CHOOSE(WEEKDAY(B625),"Sunday","Monday","Tuesday","Wednesday","Thursday","Friday","Saturday")</f>
        <v>Wednesday</v>
      </c>
      <c r="D625" t="s">
        <v>460</v>
      </c>
      <c r="E625" s="2">
        <v>56</v>
      </c>
      <c r="F625" t="str">
        <f>VLOOKUP(G625,'Expenses Reference'!$A$1:$B$23,2, FALSE)</f>
        <v>Needs</v>
      </c>
      <c r="G625" t="s">
        <v>213</v>
      </c>
    </row>
    <row r="626" spans="1:9" x14ac:dyDescent="0.3">
      <c r="A626" s="107" t="str">
        <f t="shared" si="124"/>
        <v>2025 01 (Jan)</v>
      </c>
      <c r="B626" s="165">
        <v>45672</v>
      </c>
      <c r="C626" s="162" t="str">
        <f t="shared" ref="C626" si="130">CHOOSE(WEEKDAY(B626),"Sunday","Monday","Tuesday","Wednesday","Thursday","Friday","Saturday")</f>
        <v>Wednesday</v>
      </c>
      <c r="D626" t="s">
        <v>497</v>
      </c>
      <c r="E626" s="2">
        <f>145+214</f>
        <v>359</v>
      </c>
      <c r="F626" t="str">
        <f>VLOOKUP(G626,'Expenses Reference'!$A$1:$B$23,2, FALSE)</f>
        <v>Needs</v>
      </c>
      <c r="G626" t="s">
        <v>35</v>
      </c>
    </row>
    <row r="627" spans="1:9" s="152" customFormat="1" x14ac:dyDescent="0.3">
      <c r="A627" s="167" t="str">
        <f t="shared" si="124"/>
        <v>2025 01 (Jan)</v>
      </c>
      <c r="B627" s="164">
        <v>45673</v>
      </c>
      <c r="C627" s="163" t="str">
        <f t="shared" ref="C627" si="131">CHOOSE(WEEKDAY(B627),"Sunday","Monday","Tuesday","Wednesday","Thursday","Friday","Saturday")</f>
        <v>Thursday</v>
      </c>
      <c r="D627" s="152" t="s">
        <v>460</v>
      </c>
      <c r="E627" s="153">
        <v>55</v>
      </c>
      <c r="F627" s="152" t="str">
        <f>VLOOKUP(G627,'Expenses Reference'!$A$1:$B$23,2, FALSE)</f>
        <v>Needs</v>
      </c>
      <c r="G627" s="152" t="s">
        <v>213</v>
      </c>
      <c r="H627" s="154"/>
      <c r="I627" s="154"/>
    </row>
    <row r="628" spans="1:9" s="152" customFormat="1" x14ac:dyDescent="0.3">
      <c r="A628" s="167" t="str">
        <f t="shared" ref="A628:A631" si="132">_xlfn.CONCAT(YEAR(B628), " ", CHOOSE(MONTH(B628), "01 (Jan)", "02 (Feb)", "03 (Mar)", "04 (Apr)", "05 (May)", "06 (Jun)", "07 (Jul)", "08 (Aug)", "09 (Sep)", "10 (Oct)", "11 (Nov)", "12 (Dec)"))</f>
        <v>2025 01 (Jan)</v>
      </c>
      <c r="B628" s="164">
        <v>45673</v>
      </c>
      <c r="C628" s="163" t="str">
        <f t="shared" ref="C628:C631" si="133">CHOOSE(WEEKDAY(B628),"Sunday","Monday","Tuesday","Wednesday","Thursday","Friday","Saturday")</f>
        <v>Thursday</v>
      </c>
      <c r="D628" s="152" t="s">
        <v>67</v>
      </c>
      <c r="E628" s="153">
        <v>155</v>
      </c>
      <c r="F628" s="152" t="str">
        <f>VLOOKUP(G628,'Expenses Reference'!$A$1:$B$23,2, FALSE)</f>
        <v>Needs</v>
      </c>
      <c r="G628" s="152" t="s">
        <v>35</v>
      </c>
      <c r="H628" s="154"/>
      <c r="I628" s="154"/>
    </row>
    <row r="629" spans="1:9" s="152" customFormat="1" x14ac:dyDescent="0.3">
      <c r="A629" s="167" t="str">
        <f t="shared" ref="A629" si="134">_xlfn.CONCAT(YEAR(B629), " ", CHOOSE(MONTH(B629), "01 (Jan)", "02 (Feb)", "03 (Mar)", "04 (Apr)", "05 (May)", "06 (Jun)", "07 (Jul)", "08 (Aug)", "09 (Sep)", "10 (Oct)", "11 (Nov)", "12 (Dec)"))</f>
        <v>2025 01 (Jan)</v>
      </c>
      <c r="B629" s="164">
        <v>45673</v>
      </c>
      <c r="C629" s="163" t="str">
        <f t="shared" ref="C629" si="135">CHOOSE(WEEKDAY(B629),"Sunday","Monday","Tuesday","Wednesday","Thursday","Friday","Saturday")</f>
        <v>Thursday</v>
      </c>
      <c r="D629" s="152" t="s">
        <v>500</v>
      </c>
      <c r="E629" s="153">
        <v>285</v>
      </c>
      <c r="F629" s="152" t="str">
        <f>VLOOKUP(G629,'Expenses Reference'!$A$1:$B$23,2, FALSE)</f>
        <v>Wants</v>
      </c>
      <c r="G629" s="152" t="s">
        <v>81</v>
      </c>
      <c r="H629" s="154"/>
      <c r="I629" s="154"/>
    </row>
    <row r="630" spans="1:9" s="152" customFormat="1" x14ac:dyDescent="0.3">
      <c r="A630" s="167" t="str">
        <f t="shared" si="132"/>
        <v>2025 01 (Jan)</v>
      </c>
      <c r="B630" s="164">
        <v>45673</v>
      </c>
      <c r="C630" s="163" t="str">
        <f t="shared" si="133"/>
        <v>Thursday</v>
      </c>
      <c r="D630" s="152" t="s">
        <v>186</v>
      </c>
      <c r="E630" s="153">
        <v>40</v>
      </c>
      <c r="F630" s="152" t="str">
        <f>VLOOKUP(G630,'Expenses Reference'!$A$1:$B$23,2, FALSE)</f>
        <v>Wants</v>
      </c>
      <c r="G630" s="152" t="s">
        <v>81</v>
      </c>
      <c r="H630" s="154"/>
      <c r="I630" s="154"/>
    </row>
    <row r="631" spans="1:9" x14ac:dyDescent="0.3">
      <c r="A631" s="107" t="str">
        <f t="shared" si="132"/>
        <v>2025 01 (Jan)</v>
      </c>
      <c r="B631" s="165">
        <v>45674</v>
      </c>
      <c r="C631" s="162" t="str">
        <f t="shared" si="133"/>
        <v>Friday</v>
      </c>
      <c r="D631" t="s">
        <v>498</v>
      </c>
      <c r="E631" s="2">
        <v>328</v>
      </c>
      <c r="F631" t="str">
        <f>VLOOKUP(G631,'Expenses Reference'!$A$1:$B$23,2, FALSE)</f>
        <v>Wants</v>
      </c>
      <c r="G631" t="s">
        <v>203</v>
      </c>
      <c r="H631" s="1" t="s">
        <v>501</v>
      </c>
      <c r="I631" s="1" t="s">
        <v>499</v>
      </c>
    </row>
    <row r="632" spans="1:9" x14ac:dyDescent="0.3">
      <c r="A632" s="107" t="str">
        <f t="shared" ref="A632:A639" si="136">_xlfn.CONCAT(YEAR(B632), " ", CHOOSE(MONTH(B632), "01 (Jan)", "02 (Feb)", "03 (Mar)", "04 (Apr)", "05 (May)", "06 (Jun)", "07 (Jul)", "08 (Aug)", "09 (Sep)", "10 (Oct)", "11 (Nov)", "12 (Dec)"))</f>
        <v>2025 01 (Jan)</v>
      </c>
      <c r="B632" s="165">
        <v>45674</v>
      </c>
      <c r="C632" s="162" t="str">
        <f t="shared" ref="C632:C639" si="137">CHOOSE(WEEKDAY(B632),"Sunday","Monday","Tuesday","Wednesday","Thursday","Friday","Saturday")</f>
        <v>Friday</v>
      </c>
      <c r="D632" t="s">
        <v>460</v>
      </c>
      <c r="E632" s="2">
        <v>56</v>
      </c>
      <c r="F632" t="str">
        <f>VLOOKUP(G632,'Expenses Reference'!$A$1:$B$23,2, FALSE)</f>
        <v>Needs</v>
      </c>
      <c r="G632" t="s">
        <v>213</v>
      </c>
    </row>
    <row r="633" spans="1:9" x14ac:dyDescent="0.3">
      <c r="A633" s="107" t="str">
        <f t="shared" si="136"/>
        <v>2025 01 (Jan)</v>
      </c>
      <c r="B633" s="165">
        <v>45674</v>
      </c>
      <c r="C633" s="162" t="str">
        <f t="shared" si="137"/>
        <v>Friday</v>
      </c>
      <c r="D633" t="s">
        <v>67</v>
      </c>
      <c r="E633" s="2">
        <v>145</v>
      </c>
      <c r="F633" t="str">
        <f>VLOOKUP(G633,'Expenses Reference'!$A$1:$B$23,2, FALSE)</f>
        <v>Needs</v>
      </c>
      <c r="G633" t="s">
        <v>35</v>
      </c>
    </row>
    <row r="634" spans="1:9" x14ac:dyDescent="0.3">
      <c r="A634" s="107" t="str">
        <f t="shared" si="136"/>
        <v>2025 01 (Jan)</v>
      </c>
      <c r="B634" s="165">
        <v>45674</v>
      </c>
      <c r="C634" s="162" t="str">
        <f t="shared" si="137"/>
        <v>Friday</v>
      </c>
      <c r="D634" t="s">
        <v>502</v>
      </c>
      <c r="E634" s="2">
        <f>100+350/3</f>
        <v>216.66666666666669</v>
      </c>
      <c r="F634" t="str">
        <f>VLOOKUP(G634,'Expenses Reference'!$A$1:$B$23,2, FALSE)</f>
        <v>Needs</v>
      </c>
      <c r="G634" t="s">
        <v>34</v>
      </c>
    </row>
    <row r="635" spans="1:9" x14ac:dyDescent="0.3">
      <c r="A635" s="107" t="str">
        <f t="shared" si="136"/>
        <v>2025 01 (Jan)</v>
      </c>
      <c r="B635" s="165">
        <v>45674</v>
      </c>
      <c r="C635" s="162" t="str">
        <f t="shared" si="137"/>
        <v>Friday</v>
      </c>
      <c r="D635" t="s">
        <v>503</v>
      </c>
      <c r="E635" s="2">
        <v>45</v>
      </c>
      <c r="F635" t="str">
        <f>VLOOKUP(G635,'Expenses Reference'!$A$1:$B$23,2, FALSE)</f>
        <v>Wants</v>
      </c>
      <c r="G635" t="s">
        <v>84</v>
      </c>
      <c r="H635" s="1" t="s">
        <v>479</v>
      </c>
    </row>
    <row r="636" spans="1:9" s="152" customFormat="1" x14ac:dyDescent="0.3">
      <c r="A636" s="167" t="str">
        <f t="shared" si="136"/>
        <v>2025 01 (Jan)</v>
      </c>
      <c r="B636" s="164">
        <v>45675</v>
      </c>
      <c r="C636" s="163" t="str">
        <f t="shared" si="137"/>
        <v>Saturday</v>
      </c>
      <c r="D636" s="152" t="s">
        <v>65</v>
      </c>
      <c r="E636" s="153">
        <v>356</v>
      </c>
      <c r="F636" s="152" t="str">
        <f>VLOOKUP(G636,'Expenses Reference'!$A$1:$B$23,2, FALSE)</f>
        <v>Wants</v>
      </c>
      <c r="G636" s="152" t="s">
        <v>81</v>
      </c>
      <c r="H636" s="154"/>
      <c r="I636" s="154"/>
    </row>
    <row r="637" spans="1:9" x14ac:dyDescent="0.3">
      <c r="A637" s="107" t="str">
        <f t="shared" si="136"/>
        <v>2025 01 (Jan)</v>
      </c>
      <c r="B637" s="165">
        <v>45676</v>
      </c>
      <c r="C637" s="162" t="str">
        <f t="shared" si="137"/>
        <v>Sunday</v>
      </c>
      <c r="D637" t="s">
        <v>66</v>
      </c>
      <c r="E637" s="2">
        <v>696</v>
      </c>
      <c r="F637" t="str">
        <f>VLOOKUP(G637,'Expenses Reference'!$A$1:$B$23,2, FALSE)</f>
        <v>Needs</v>
      </c>
      <c r="G637" t="s">
        <v>34</v>
      </c>
    </row>
    <row r="638" spans="1:9" x14ac:dyDescent="0.3">
      <c r="A638" s="107" t="str">
        <f t="shared" si="136"/>
        <v>2025 01 (Jan)</v>
      </c>
      <c r="B638" s="165">
        <v>45676</v>
      </c>
      <c r="C638" s="162" t="str">
        <f t="shared" si="137"/>
        <v>Sunday</v>
      </c>
      <c r="D638" t="s">
        <v>360</v>
      </c>
      <c r="E638" s="2">
        <v>150</v>
      </c>
      <c r="F638" t="str">
        <f>VLOOKUP(G638,'Expenses Reference'!$A$1:$B$23,2, FALSE)</f>
        <v>Needs</v>
      </c>
      <c r="G638" t="s">
        <v>146</v>
      </c>
    </row>
    <row r="639" spans="1:9" s="152" customFormat="1" x14ac:dyDescent="0.3">
      <c r="A639" s="167" t="str">
        <f t="shared" si="136"/>
        <v>2025 01 (Jan)</v>
      </c>
      <c r="B639" s="164">
        <v>45677</v>
      </c>
      <c r="C639" s="163" t="str">
        <f t="shared" si="137"/>
        <v>Monday</v>
      </c>
      <c r="D639" s="152" t="s">
        <v>460</v>
      </c>
      <c r="E639" s="153">
        <v>50</v>
      </c>
      <c r="F639" s="152" t="str">
        <f>VLOOKUP(G639,'Expenses Reference'!$A$1:$B$23,2, FALSE)</f>
        <v>Needs</v>
      </c>
      <c r="G639" s="152" t="s">
        <v>213</v>
      </c>
      <c r="H639" s="154"/>
      <c r="I639" s="154"/>
    </row>
    <row r="640" spans="1:9" s="152" customFormat="1" x14ac:dyDescent="0.3">
      <c r="A640" s="167" t="str">
        <f t="shared" ref="A640:A642" si="138">_xlfn.CONCAT(YEAR(B640), " ", CHOOSE(MONTH(B640), "01 (Jan)", "02 (Feb)", "03 (Mar)", "04 (Apr)", "05 (May)", "06 (Jun)", "07 (Jul)", "08 (Aug)", "09 (Sep)", "10 (Oct)", "11 (Nov)", "12 (Dec)"))</f>
        <v>2025 01 (Jan)</v>
      </c>
      <c r="B640" s="164">
        <v>45677</v>
      </c>
      <c r="C640" s="163" t="str">
        <f t="shared" ref="C640:C642" si="139">CHOOSE(WEEKDAY(B640),"Sunday","Monday","Tuesday","Wednesday","Thursday","Friday","Saturday")</f>
        <v>Monday</v>
      </c>
      <c r="D640" s="152" t="s">
        <v>67</v>
      </c>
      <c r="E640" s="153">
        <v>174</v>
      </c>
      <c r="F640" s="152" t="str">
        <f>VLOOKUP(G640,'Expenses Reference'!$A$1:$B$23,2, FALSE)</f>
        <v>Needs</v>
      </c>
      <c r="G640" s="152" t="s">
        <v>35</v>
      </c>
      <c r="H640" s="154"/>
      <c r="I640" s="154"/>
    </row>
    <row r="641" spans="1:9" s="152" customFormat="1" x14ac:dyDescent="0.3">
      <c r="A641" s="167" t="str">
        <f t="shared" si="138"/>
        <v>2025 01 (Jan)</v>
      </c>
      <c r="B641" s="164">
        <v>45677</v>
      </c>
      <c r="C641" s="163" t="str">
        <f t="shared" si="139"/>
        <v>Monday</v>
      </c>
      <c r="D641" s="152" t="s">
        <v>483</v>
      </c>
      <c r="E641" s="153">
        <v>60</v>
      </c>
      <c r="F641" s="152" t="str">
        <f>VLOOKUP(G641,'Expenses Reference'!$A$1:$B$23,2, FALSE)</f>
        <v>Wants</v>
      </c>
      <c r="G641" s="152" t="s">
        <v>81</v>
      </c>
      <c r="H641" s="154" t="s">
        <v>479</v>
      </c>
      <c r="I641" s="154"/>
    </row>
    <row r="642" spans="1:9" x14ac:dyDescent="0.3">
      <c r="A642" s="107" t="str">
        <f t="shared" si="138"/>
        <v>2025 01 (Jan)</v>
      </c>
      <c r="B642" s="165">
        <v>45678</v>
      </c>
      <c r="C642" s="162" t="str">
        <f t="shared" si="139"/>
        <v>Tuesday</v>
      </c>
      <c r="D642" t="s">
        <v>66</v>
      </c>
      <c r="E642" s="2">
        <f>(872-230)+230/3</f>
        <v>718.66666666666663</v>
      </c>
      <c r="F642" t="str">
        <f>VLOOKUP(G642,'Expenses Reference'!$A$1:$B$23,2, FALSE)</f>
        <v>Wants</v>
      </c>
      <c r="G642" t="s">
        <v>81</v>
      </c>
    </row>
    <row r="643" spans="1:9" x14ac:dyDescent="0.3">
      <c r="A643" s="107" t="str">
        <f t="shared" ref="A643:A663" si="140">_xlfn.CONCAT(YEAR(B643), " ", CHOOSE(MONTH(B643), "01 (Jan)", "02 (Feb)", "03 (Mar)", "04 (Apr)", "05 (May)", "06 (Jun)", "07 (Jul)", "08 (Aug)", "09 (Sep)", "10 (Oct)", "11 (Nov)", "12 (Dec)"))</f>
        <v>2025 01 (Jan)</v>
      </c>
      <c r="B643" s="165">
        <v>45678</v>
      </c>
      <c r="C643" s="162" t="str">
        <f t="shared" ref="C643:C663" si="141">CHOOSE(WEEKDAY(B643),"Sunday","Monday","Tuesday","Wednesday","Thursday","Friday","Saturday")</f>
        <v>Tuesday</v>
      </c>
      <c r="D643" t="s">
        <v>65</v>
      </c>
      <c r="E643" s="2">
        <v>326</v>
      </c>
      <c r="F643" t="str">
        <f>VLOOKUP(G643,'Expenses Reference'!$A$1:$B$23,2, FALSE)</f>
        <v>Wants</v>
      </c>
      <c r="G643" t="s">
        <v>81</v>
      </c>
    </row>
    <row r="644" spans="1:9" s="152" customFormat="1" x14ac:dyDescent="0.3">
      <c r="A644" s="167" t="str">
        <f t="shared" si="140"/>
        <v>2025 01 (Jan)</v>
      </c>
      <c r="B644" s="164">
        <v>45679</v>
      </c>
      <c r="C644" s="163" t="str">
        <f t="shared" si="141"/>
        <v>Wednesday</v>
      </c>
      <c r="D644" s="152" t="s">
        <v>460</v>
      </c>
      <c r="E644" s="153">
        <v>53</v>
      </c>
      <c r="F644" s="152" t="str">
        <f>VLOOKUP(G644,'Expenses Reference'!$A$1:$B$23,2, FALSE)</f>
        <v>Needs</v>
      </c>
      <c r="G644" s="152" t="s">
        <v>213</v>
      </c>
      <c r="H644" s="154"/>
      <c r="I644" s="154"/>
    </row>
    <row r="645" spans="1:9" s="152" customFormat="1" x14ac:dyDescent="0.3">
      <c r="A645" s="167" t="str">
        <f t="shared" si="140"/>
        <v>2025 01 (Jan)</v>
      </c>
      <c r="B645" s="164">
        <v>45679</v>
      </c>
      <c r="C645" s="163" t="str">
        <f t="shared" si="141"/>
        <v>Wednesday</v>
      </c>
      <c r="D645" s="152" t="s">
        <v>507</v>
      </c>
      <c r="E645" s="153">
        <v>350</v>
      </c>
      <c r="F645" s="152" t="str">
        <f>VLOOKUP(G645,'Expenses Reference'!$A$1:$B$23,2, FALSE)</f>
        <v>Wants</v>
      </c>
      <c r="G645" s="152" t="s">
        <v>81</v>
      </c>
      <c r="H645" s="154" t="s">
        <v>479</v>
      </c>
      <c r="I645" s="154"/>
    </row>
    <row r="646" spans="1:9" x14ac:dyDescent="0.3">
      <c r="A646" s="107" t="str">
        <f t="shared" si="140"/>
        <v>2025 01 (Jan)</v>
      </c>
      <c r="B646" s="165">
        <v>45680</v>
      </c>
      <c r="C646" s="162" t="str">
        <f t="shared" si="141"/>
        <v>Thursday</v>
      </c>
      <c r="D646" t="s">
        <v>508</v>
      </c>
      <c r="E646" s="2">
        <v>375</v>
      </c>
      <c r="F646" t="str">
        <f>VLOOKUP(G646,'Expenses Reference'!$A$1:$B$23,2, FALSE)</f>
        <v>Wants</v>
      </c>
      <c r="G646" t="s">
        <v>188</v>
      </c>
    </row>
    <row r="647" spans="1:9" x14ac:dyDescent="0.3">
      <c r="A647" s="107" t="str">
        <f t="shared" si="140"/>
        <v>2025 01 (Jan)</v>
      </c>
      <c r="B647" s="165">
        <v>45680</v>
      </c>
      <c r="C647" s="162" t="str">
        <f t="shared" si="141"/>
        <v>Thursday</v>
      </c>
      <c r="D647" t="s">
        <v>186</v>
      </c>
      <c r="E647" s="2">
        <v>40</v>
      </c>
      <c r="F647" t="str">
        <f>VLOOKUP(G647,'Expenses Reference'!$A$1:$B$23,2, FALSE)</f>
        <v>Needs</v>
      </c>
      <c r="G647" t="s">
        <v>35</v>
      </c>
    </row>
    <row r="648" spans="1:9" s="152" customFormat="1" x14ac:dyDescent="0.3">
      <c r="A648" s="167" t="str">
        <f t="shared" si="140"/>
        <v>2025 01 (Jan)</v>
      </c>
      <c r="B648" s="164">
        <v>45681</v>
      </c>
      <c r="C648" s="163" t="str">
        <f t="shared" si="141"/>
        <v>Friday</v>
      </c>
      <c r="D648" s="152" t="s">
        <v>207</v>
      </c>
      <c r="E648" s="153">
        <v>28</v>
      </c>
      <c r="F648" s="152" t="str">
        <f>VLOOKUP(G648,'Expenses Reference'!$A$1:$B$23,2, FALSE)</f>
        <v>Wants</v>
      </c>
      <c r="G648" s="152" t="s">
        <v>84</v>
      </c>
      <c r="H648" s="154"/>
      <c r="I648" s="154"/>
    </row>
    <row r="649" spans="1:9" s="152" customFormat="1" x14ac:dyDescent="0.3">
      <c r="A649" s="167" t="str">
        <f t="shared" si="140"/>
        <v>2025 01 (Jan)</v>
      </c>
      <c r="B649" s="164">
        <v>45681</v>
      </c>
      <c r="C649" s="163" t="str">
        <f t="shared" si="141"/>
        <v>Friday</v>
      </c>
      <c r="D649" s="152" t="s">
        <v>509</v>
      </c>
      <c r="E649" s="153">
        <v>3984</v>
      </c>
      <c r="F649" s="152" t="str">
        <f>VLOOKUP(G649,'Expenses Reference'!$A$1:$B$23,2, FALSE)</f>
        <v>Wants</v>
      </c>
      <c r="G649" s="152" t="s">
        <v>203</v>
      </c>
      <c r="H649" s="154" t="s">
        <v>530</v>
      </c>
      <c r="I649" s="154"/>
    </row>
    <row r="650" spans="1:9" s="152" customFormat="1" x14ac:dyDescent="0.3">
      <c r="A650" s="167" t="str">
        <f t="shared" si="140"/>
        <v>2025 01 (Jan)</v>
      </c>
      <c r="B650" s="164">
        <v>45681</v>
      </c>
      <c r="C650" s="163" t="str">
        <f t="shared" si="141"/>
        <v>Friday</v>
      </c>
      <c r="D650" s="152" t="s">
        <v>510</v>
      </c>
      <c r="E650" s="153">
        <v>100</v>
      </c>
      <c r="F650" s="152" t="str">
        <f>VLOOKUP(G650,'Expenses Reference'!$A$1:$B$23,2, FALSE)</f>
        <v>Wants</v>
      </c>
      <c r="G650" s="152" t="s">
        <v>81</v>
      </c>
      <c r="H650" s="154" t="s">
        <v>479</v>
      </c>
      <c r="I650" s="154"/>
    </row>
    <row r="651" spans="1:9" s="152" customFormat="1" x14ac:dyDescent="0.3">
      <c r="A651" s="167" t="str">
        <f t="shared" si="140"/>
        <v>2025 01 (Jan)</v>
      </c>
      <c r="B651" s="164">
        <v>45681</v>
      </c>
      <c r="C651" s="163" t="str">
        <f t="shared" si="141"/>
        <v>Friday</v>
      </c>
      <c r="D651" s="152" t="s">
        <v>511</v>
      </c>
      <c r="E651" s="153">
        <v>30</v>
      </c>
      <c r="F651" s="152" t="str">
        <f>VLOOKUP(G651,'Expenses Reference'!$A$1:$B$23,2, FALSE)</f>
        <v>Wants</v>
      </c>
      <c r="G651" s="152" t="s">
        <v>81</v>
      </c>
      <c r="H651" s="154" t="s">
        <v>479</v>
      </c>
      <c r="I651" s="154"/>
    </row>
    <row r="652" spans="1:9" s="152" customFormat="1" x14ac:dyDescent="0.3">
      <c r="A652" s="167" t="str">
        <f t="shared" si="140"/>
        <v>2025 01 (Jan)</v>
      </c>
      <c r="B652" s="164">
        <v>45681</v>
      </c>
      <c r="C652" s="163" t="str">
        <f t="shared" si="141"/>
        <v>Friday</v>
      </c>
      <c r="D652" s="152" t="s">
        <v>512</v>
      </c>
      <c r="E652" s="153">
        <v>120</v>
      </c>
      <c r="F652" s="152" t="str">
        <f>VLOOKUP(G652,'Expenses Reference'!$A$1:$B$23,2, FALSE)</f>
        <v>Needs</v>
      </c>
      <c r="G652" s="152" t="s">
        <v>34</v>
      </c>
      <c r="H652" s="154"/>
      <c r="I652" s="154"/>
    </row>
    <row r="653" spans="1:9" x14ac:dyDescent="0.3">
      <c r="A653" s="107" t="str">
        <f t="shared" si="140"/>
        <v>2025 01 (Jan)</v>
      </c>
      <c r="B653" s="165">
        <v>45682</v>
      </c>
      <c r="C653" s="162" t="str">
        <f t="shared" si="141"/>
        <v>Saturday</v>
      </c>
      <c r="D653" t="s">
        <v>513</v>
      </c>
      <c r="E653" s="2">
        <v>26</v>
      </c>
      <c r="F653" t="str">
        <f>VLOOKUP(G653,'Expenses Reference'!$A$1:$B$23,2, FALSE)</f>
        <v>Wants</v>
      </c>
      <c r="G653" t="s">
        <v>84</v>
      </c>
    </row>
    <row r="654" spans="1:9" x14ac:dyDescent="0.3">
      <c r="A654" s="107" t="str">
        <f t="shared" si="140"/>
        <v>2025 01 (Jan)</v>
      </c>
      <c r="B654" s="165">
        <v>45682</v>
      </c>
      <c r="C654" s="162" t="str">
        <f t="shared" si="141"/>
        <v>Saturday</v>
      </c>
      <c r="D654" t="s">
        <v>504</v>
      </c>
      <c r="E654" s="2">
        <v>93.34</v>
      </c>
      <c r="F654" t="str">
        <f>VLOOKUP(G654,'Expenses Reference'!$A$1:$B$23,2, FALSE)</f>
        <v>Wants</v>
      </c>
      <c r="G654" t="s">
        <v>215</v>
      </c>
    </row>
    <row r="655" spans="1:9" x14ac:dyDescent="0.3">
      <c r="A655" s="107" t="str">
        <f t="shared" si="140"/>
        <v>2025 01 (Jan)</v>
      </c>
      <c r="B655" s="165">
        <v>45682</v>
      </c>
      <c r="C655" s="162" t="str">
        <f t="shared" si="141"/>
        <v>Saturday</v>
      </c>
      <c r="D655" t="s">
        <v>506</v>
      </c>
      <c r="E655" s="2">
        <v>222</v>
      </c>
      <c r="F655" t="str">
        <f>VLOOKUP(G655,'Expenses Reference'!$A$1:$B$23,2, FALSE)</f>
        <v>Wants</v>
      </c>
      <c r="G655" t="s">
        <v>81</v>
      </c>
    </row>
    <row r="656" spans="1:9" x14ac:dyDescent="0.3">
      <c r="A656" s="107" t="str">
        <f t="shared" si="140"/>
        <v>2025 01 (Jan)</v>
      </c>
      <c r="B656" s="165">
        <v>45682</v>
      </c>
      <c r="C656" s="162" t="str">
        <f t="shared" si="141"/>
        <v>Saturday</v>
      </c>
      <c r="D656" t="s">
        <v>392</v>
      </c>
      <c r="E656" s="2">
        <v>407</v>
      </c>
      <c r="F656" t="str">
        <f>VLOOKUP(G656,'Expenses Reference'!$A$1:$B$23,2, FALSE)</f>
        <v>Wants</v>
      </c>
      <c r="G656" t="s">
        <v>81</v>
      </c>
    </row>
    <row r="657" spans="1:9" s="152" customFormat="1" x14ac:dyDescent="0.3">
      <c r="A657" s="167" t="str">
        <f t="shared" si="140"/>
        <v>2025 01 (Jan)</v>
      </c>
      <c r="B657" s="164">
        <v>45683</v>
      </c>
      <c r="C657" s="163" t="str">
        <f t="shared" si="141"/>
        <v>Sunday</v>
      </c>
      <c r="D657" s="152" t="s">
        <v>514</v>
      </c>
      <c r="E657" s="153">
        <v>855</v>
      </c>
      <c r="F657" s="152" t="str">
        <f>VLOOKUP(G657,'Expenses Reference'!$A$1:$B$23,2, FALSE)</f>
        <v>Wants</v>
      </c>
      <c r="G657" s="152" t="s">
        <v>81</v>
      </c>
      <c r="H657" s="154"/>
      <c r="I657" s="154"/>
    </row>
    <row r="658" spans="1:9" s="152" customFormat="1" x14ac:dyDescent="0.3">
      <c r="A658" s="167" t="str">
        <f t="shared" si="140"/>
        <v>2025 01 (Jan)</v>
      </c>
      <c r="B658" s="164">
        <v>45683</v>
      </c>
      <c r="C658" s="163" t="str">
        <f t="shared" si="141"/>
        <v>Sunday</v>
      </c>
      <c r="D658" s="152" t="s">
        <v>505</v>
      </c>
      <c r="E658" s="153">
        <v>5000</v>
      </c>
      <c r="F658" s="152" t="str">
        <f>VLOOKUP(G658,'Expenses Reference'!$A$1:$B$23,2, FALSE)</f>
        <v>Wants</v>
      </c>
      <c r="G658" s="152" t="s">
        <v>188</v>
      </c>
      <c r="H658" s="154"/>
      <c r="I658" s="154"/>
    </row>
    <row r="659" spans="1:9" x14ac:dyDescent="0.3">
      <c r="A659" s="107" t="str">
        <f t="shared" si="140"/>
        <v>2025 01 (Jan)</v>
      </c>
      <c r="B659" s="165">
        <v>45684</v>
      </c>
      <c r="C659" s="162" t="str">
        <f t="shared" si="141"/>
        <v>Monday</v>
      </c>
      <c r="D659" t="s">
        <v>66</v>
      </c>
      <c r="E659" s="2">
        <v>361</v>
      </c>
      <c r="F659" t="str">
        <f>VLOOKUP(G659,'Expenses Reference'!$A$1:$B$23,2, FALSE)</f>
        <v>Wants</v>
      </c>
      <c r="G659" t="s">
        <v>81</v>
      </c>
    </row>
    <row r="660" spans="1:9" x14ac:dyDescent="0.3">
      <c r="A660" s="107" t="str">
        <f t="shared" ref="A660:A661" si="142">_xlfn.CONCAT(YEAR(B660), " ", CHOOSE(MONTH(B660), "01 (Jan)", "02 (Feb)", "03 (Mar)", "04 (Apr)", "05 (May)", "06 (Jun)", "07 (Jul)", "08 (Aug)", "09 (Sep)", "10 (Oct)", "11 (Nov)", "12 (Dec)"))</f>
        <v>2025 01 (Jan)</v>
      </c>
      <c r="B660" s="165">
        <v>45684</v>
      </c>
      <c r="C660" s="162" t="str">
        <f t="shared" ref="C660:C661" si="143">CHOOSE(WEEKDAY(B660),"Sunday","Monday","Tuesday","Wednesday","Thursday","Friday","Saturday")</f>
        <v>Monday</v>
      </c>
      <c r="D660" t="s">
        <v>515</v>
      </c>
      <c r="E660" s="2">
        <v>20000</v>
      </c>
      <c r="F660" t="str">
        <f>VLOOKUP(G660,'Expenses Reference'!$A$1:$B$23,2, FALSE)</f>
        <v>Investments</v>
      </c>
      <c r="G660" t="s">
        <v>217</v>
      </c>
    </row>
    <row r="661" spans="1:9" x14ac:dyDescent="0.3">
      <c r="A661" s="107" t="str">
        <f t="shared" si="142"/>
        <v>2025 01 (Jan)</v>
      </c>
      <c r="B661" s="165">
        <v>45684</v>
      </c>
      <c r="C661" s="162" t="str">
        <f t="shared" si="143"/>
        <v>Monday</v>
      </c>
      <c r="D661" t="s">
        <v>480</v>
      </c>
      <c r="E661" s="2">
        <v>530</v>
      </c>
      <c r="F661" t="str">
        <f>VLOOKUP(G661,'Expenses Reference'!$A$1:$B$23,2, FALSE)</f>
        <v>Wants</v>
      </c>
      <c r="G661" t="s">
        <v>81</v>
      </c>
    </row>
    <row r="662" spans="1:9" s="152" customFormat="1" x14ac:dyDescent="0.3">
      <c r="A662" s="167" t="str">
        <f t="shared" si="140"/>
        <v>2025 01 (Jan)</v>
      </c>
      <c r="B662" s="164">
        <v>45685</v>
      </c>
      <c r="C662" s="163" t="str">
        <f t="shared" si="141"/>
        <v>Tuesday</v>
      </c>
      <c r="D662" s="152" t="s">
        <v>65</v>
      </c>
      <c r="E662" s="153">
        <v>821</v>
      </c>
      <c r="F662" s="152" t="str">
        <f>VLOOKUP(G662,'Expenses Reference'!$A$1:$B$23,2, FALSE)</f>
        <v>Wants</v>
      </c>
      <c r="G662" s="152" t="s">
        <v>81</v>
      </c>
      <c r="H662" s="154"/>
      <c r="I662" s="154"/>
    </row>
    <row r="663" spans="1:9" s="152" customFormat="1" x14ac:dyDescent="0.3">
      <c r="A663" s="167" t="str">
        <f t="shared" si="140"/>
        <v>2025 01 (Jan)</v>
      </c>
      <c r="B663" s="164">
        <v>45685</v>
      </c>
      <c r="C663" s="163" t="str">
        <f t="shared" si="141"/>
        <v>Tuesday</v>
      </c>
      <c r="D663" s="152" t="s">
        <v>323</v>
      </c>
      <c r="E663" s="153">
        <v>240</v>
      </c>
      <c r="F663" s="152" t="str">
        <f>VLOOKUP(G663,'Expenses Reference'!$A$1:$B$23,2, FALSE)</f>
        <v>Needs</v>
      </c>
      <c r="G663" s="152" t="s">
        <v>34</v>
      </c>
      <c r="H663" s="154"/>
      <c r="I663" s="154"/>
    </row>
    <row r="664" spans="1:9" x14ac:dyDescent="0.3">
      <c r="A664" s="107" t="str">
        <f t="shared" ref="A664" si="144">_xlfn.CONCAT(YEAR(B664), " ", CHOOSE(MONTH(B664), "01 (Jan)", "02 (Feb)", "03 (Mar)", "04 (Apr)", "05 (May)", "06 (Jun)", "07 (Jul)", "08 (Aug)", "09 (Sep)", "10 (Oct)", "11 (Nov)", "12 (Dec)"))</f>
        <v>2025 01 (Jan)</v>
      </c>
      <c r="B664" s="165">
        <v>45686</v>
      </c>
      <c r="C664" s="162" t="str">
        <f t="shared" ref="C664" si="145">CHOOSE(WEEKDAY(B664),"Sunday","Monday","Tuesday","Wednesday","Thursday","Friday","Saturday")</f>
        <v>Wednesday</v>
      </c>
      <c r="D664" t="s">
        <v>460</v>
      </c>
      <c r="E664" s="2">
        <v>51</v>
      </c>
      <c r="F664" t="str">
        <f>VLOOKUP(G664,'Expenses Reference'!$A$1:$B$23,2, FALSE)</f>
        <v>Needs</v>
      </c>
      <c r="G664" t="s">
        <v>213</v>
      </c>
    </row>
    <row r="665" spans="1:9" x14ac:dyDescent="0.3">
      <c r="A665" s="107" t="str">
        <f t="shared" ref="A665" si="146">_xlfn.CONCAT(YEAR(B665), " ", CHOOSE(MONTH(B665), "01 (Jan)", "02 (Feb)", "03 (Mar)", "04 (Apr)", "05 (May)", "06 (Jun)", "07 (Jul)", "08 (Aug)", "09 (Sep)", "10 (Oct)", "11 (Nov)", "12 (Dec)"))</f>
        <v>2025 01 (Jan)</v>
      </c>
      <c r="B665" s="165">
        <v>45686</v>
      </c>
      <c r="C665" s="162" t="str">
        <f t="shared" ref="C665" si="147">CHOOSE(WEEKDAY(B665),"Sunday","Monday","Tuesday","Wednesday","Thursday","Friday","Saturday")</f>
        <v>Wednesday</v>
      </c>
      <c r="D665" t="s">
        <v>65</v>
      </c>
      <c r="E665" s="2">
        <v>210</v>
      </c>
      <c r="F665" t="str">
        <f>VLOOKUP(G665,'Expenses Reference'!$A$1:$B$23,2, FALSE)</f>
        <v>Wants</v>
      </c>
      <c r="G665" t="s">
        <v>81</v>
      </c>
    </row>
    <row r="666" spans="1:9" s="152" customFormat="1" x14ac:dyDescent="0.3">
      <c r="A666" s="167" t="str">
        <f t="shared" ref="A666" si="148">_xlfn.CONCAT(YEAR(B666), " ", CHOOSE(MONTH(B666), "01 (Jan)", "02 (Feb)", "03 (Mar)", "04 (Apr)", "05 (May)", "06 (Jun)", "07 (Jul)", "08 (Aug)", "09 (Sep)", "10 (Oct)", "11 (Nov)", "12 (Dec)"))</f>
        <v>2025 01 (Jan)</v>
      </c>
      <c r="B666" s="164">
        <v>45687</v>
      </c>
      <c r="C666" s="163" t="str">
        <f t="shared" ref="C666" si="149">CHOOSE(WEEKDAY(B666),"Sunday","Monday","Tuesday","Wednesday","Thursday","Friday","Saturday")</f>
        <v>Thursday</v>
      </c>
      <c r="D666" s="152" t="s">
        <v>460</v>
      </c>
      <c r="E666" s="153">
        <v>49</v>
      </c>
      <c r="F666" s="152" t="str">
        <f>VLOOKUP(G666,'Expenses Reference'!$A$1:$B$23,2, FALSE)</f>
        <v>Wants</v>
      </c>
      <c r="G666" s="152" t="s">
        <v>81</v>
      </c>
      <c r="H666" s="154"/>
      <c r="I666" s="154"/>
    </row>
    <row r="667" spans="1:9" s="152" customFormat="1" x14ac:dyDescent="0.3">
      <c r="A667" s="167" t="str">
        <f t="shared" ref="A667:A670" si="150">_xlfn.CONCAT(YEAR(B667), " ", CHOOSE(MONTH(B667), "01 (Jan)", "02 (Feb)", "03 (Mar)", "04 (Apr)", "05 (May)", "06 (Jun)", "07 (Jul)", "08 (Aug)", "09 (Sep)", "10 (Oct)", "11 (Nov)", "12 (Dec)"))</f>
        <v>2025 01 (Jan)</v>
      </c>
      <c r="B667" s="164">
        <v>45687</v>
      </c>
      <c r="C667" s="163" t="str">
        <f t="shared" ref="C667:C670" si="151">CHOOSE(WEEKDAY(B667),"Sunday","Monday","Tuesday","Wednesday","Thursday","Friday","Saturday")</f>
        <v>Thursday</v>
      </c>
      <c r="D667" s="152" t="s">
        <v>67</v>
      </c>
      <c r="E667" s="153">
        <v>90</v>
      </c>
      <c r="F667" s="152" t="str">
        <f>VLOOKUP(G667,'Expenses Reference'!$A$1:$B$23,2, FALSE)</f>
        <v>Needs</v>
      </c>
      <c r="G667" s="152" t="s">
        <v>213</v>
      </c>
      <c r="H667" s="154"/>
      <c r="I667" s="154"/>
    </row>
    <row r="668" spans="1:9" s="152" customFormat="1" x14ac:dyDescent="0.3">
      <c r="A668" s="167" t="str">
        <f t="shared" si="150"/>
        <v>2025 01 (Jan)</v>
      </c>
      <c r="B668" s="164">
        <v>45687</v>
      </c>
      <c r="C668" s="163" t="str">
        <f t="shared" si="151"/>
        <v>Thursday</v>
      </c>
      <c r="D668" s="152" t="s">
        <v>65</v>
      </c>
      <c r="E668" s="153">
        <v>462</v>
      </c>
      <c r="F668" s="152" t="str">
        <f>VLOOKUP(G668,'Expenses Reference'!$A$1:$B$23,2, FALSE)</f>
        <v>Wants</v>
      </c>
      <c r="G668" s="152" t="s">
        <v>81</v>
      </c>
      <c r="H668" s="154"/>
      <c r="I668" s="154"/>
    </row>
    <row r="669" spans="1:9" x14ac:dyDescent="0.3">
      <c r="A669" s="107" t="str">
        <f t="shared" si="150"/>
        <v>2025 01 (Jan)</v>
      </c>
      <c r="B669" s="165">
        <v>45688</v>
      </c>
      <c r="C669" s="162" t="str">
        <f t="shared" si="151"/>
        <v>Friday</v>
      </c>
      <c r="D669" t="s">
        <v>65</v>
      </c>
      <c r="E669" s="2">
        <v>684</v>
      </c>
      <c r="F669" t="str">
        <f>VLOOKUP(G669,'Expenses Reference'!$A$1:$B$23,2, FALSE)</f>
        <v>Wants</v>
      </c>
      <c r="G669" t="s">
        <v>81</v>
      </c>
    </row>
    <row r="670" spans="1:9" x14ac:dyDescent="0.3">
      <c r="A670" s="107" t="str">
        <f t="shared" si="150"/>
        <v>2025 01 (Jan)</v>
      </c>
      <c r="B670" s="165">
        <v>45688</v>
      </c>
      <c r="C670" s="162" t="str">
        <f t="shared" si="151"/>
        <v>Friday</v>
      </c>
      <c r="D670" t="s">
        <v>436</v>
      </c>
      <c r="E670" s="2">
        <v>480</v>
      </c>
      <c r="F670" t="str">
        <f>VLOOKUP(G670,'Expenses Reference'!$A$1:$B$23,2, FALSE)</f>
        <v>Wants</v>
      </c>
      <c r="G670" t="s">
        <v>81</v>
      </c>
    </row>
    <row r="671" spans="1:9" s="152" customFormat="1" x14ac:dyDescent="0.3">
      <c r="A671" s="167" t="str">
        <f t="shared" ref="A671" si="152">_xlfn.CONCAT(YEAR(B671), " ", CHOOSE(MONTH(B671), "01 (Jan)", "02 (Feb)", "03 (Mar)", "04 (Apr)", "05 (May)", "06 (Jun)", "07 (Jul)", "08 (Aug)", "09 (Sep)", "10 (Oct)", "11 (Nov)", "12 (Dec)"))</f>
        <v>2025 02 (Feb)</v>
      </c>
      <c r="B671" s="164">
        <v>45689</v>
      </c>
      <c r="C671" s="163" t="str">
        <f t="shared" ref="C671" si="153">CHOOSE(WEEKDAY(B671),"Sunday","Monday","Tuesday","Wednesday","Thursday","Friday","Saturday")</f>
        <v>Saturday</v>
      </c>
      <c r="D671" s="152" t="s">
        <v>33</v>
      </c>
      <c r="E671" s="153">
        <v>2000</v>
      </c>
      <c r="F671" s="152" t="str">
        <f>VLOOKUP(G671,'Expenses Reference'!$A$1:$B$23,2, FALSE)</f>
        <v>Needs</v>
      </c>
      <c r="G671" s="152" t="s">
        <v>33</v>
      </c>
      <c r="H671" s="154"/>
      <c r="I671" s="154"/>
    </row>
    <row r="672" spans="1:9" s="152" customFormat="1" x14ac:dyDescent="0.3">
      <c r="A672" s="167" t="str">
        <f t="shared" ref="A672:A673" si="154">_xlfn.CONCAT(YEAR(B672), " ", CHOOSE(MONTH(B672), "01 (Jan)", "02 (Feb)", "03 (Mar)", "04 (Apr)", "05 (May)", "06 (Jun)", "07 (Jul)", "08 (Aug)", "09 (Sep)", "10 (Oct)", "11 (Nov)", "12 (Dec)"))</f>
        <v>2025 02 (Feb)</v>
      </c>
      <c r="B672" s="164">
        <v>45689</v>
      </c>
      <c r="C672" s="163" t="str">
        <f t="shared" ref="C672:C673" si="155">CHOOSE(WEEKDAY(B672),"Sunday","Monday","Tuesday","Wednesday","Thursday","Friday","Saturday")</f>
        <v>Saturday</v>
      </c>
      <c r="D672" s="152" t="s">
        <v>107</v>
      </c>
      <c r="E672" s="153">
        <v>20667</v>
      </c>
      <c r="F672" s="152" t="str">
        <f>VLOOKUP(G672,'Expenses Reference'!$A$1:$B$23,2, FALSE)</f>
        <v>Needs</v>
      </c>
      <c r="G672" s="152" t="s">
        <v>30</v>
      </c>
      <c r="H672" s="154"/>
      <c r="I672" s="154"/>
    </row>
    <row r="673" spans="1:9" s="152" customFormat="1" x14ac:dyDescent="0.3">
      <c r="A673" s="167" t="str">
        <f t="shared" si="154"/>
        <v>2025 02 (Feb)</v>
      </c>
      <c r="B673" s="164">
        <v>45689</v>
      </c>
      <c r="C673" s="163" t="str">
        <f t="shared" si="155"/>
        <v>Saturday</v>
      </c>
      <c r="D673" s="152" t="s">
        <v>517</v>
      </c>
      <c r="E673" s="153">
        <v>33</v>
      </c>
      <c r="F673" s="152" t="str">
        <f>VLOOKUP(G673,'Expenses Reference'!$A$1:$B$23,2, FALSE)</f>
        <v>Wants</v>
      </c>
      <c r="G673" s="152" t="s">
        <v>81</v>
      </c>
      <c r="H673" s="154" t="s">
        <v>528</v>
      </c>
      <c r="I673" s="154"/>
    </row>
    <row r="674" spans="1:9" s="152" customFormat="1" x14ac:dyDescent="0.3">
      <c r="A674" s="167" t="str">
        <f t="shared" ref="A674:A684" si="156">_xlfn.CONCAT(YEAR(B674), " ", CHOOSE(MONTH(B674), "01 (Jan)", "02 (Feb)", "03 (Mar)", "04 (Apr)", "05 (May)", "06 (Jun)", "07 (Jul)", "08 (Aug)", "09 (Sep)", "10 (Oct)", "11 (Nov)", "12 (Dec)"))</f>
        <v>2025 02 (Feb)</v>
      </c>
      <c r="B674" s="164">
        <v>45689</v>
      </c>
      <c r="C674" s="163" t="str">
        <f t="shared" ref="C674:C684" si="157">CHOOSE(WEEKDAY(B674),"Sunday","Monday","Tuesday","Wednesday","Thursday","Friday","Saturday")</f>
        <v>Saturday</v>
      </c>
      <c r="D674" s="152" t="s">
        <v>518</v>
      </c>
      <c r="E674" s="153">
        <v>90</v>
      </c>
      <c r="F674" s="152" t="str">
        <f>VLOOKUP(G674,'Expenses Reference'!$A$1:$B$23,2, FALSE)</f>
        <v>Wants</v>
      </c>
      <c r="G674" s="152" t="s">
        <v>84</v>
      </c>
      <c r="H674" s="154" t="s">
        <v>528</v>
      </c>
      <c r="I674" s="154"/>
    </row>
    <row r="675" spans="1:9" s="152" customFormat="1" x14ac:dyDescent="0.3">
      <c r="A675" s="167" t="str">
        <f t="shared" si="156"/>
        <v>2025 02 (Feb)</v>
      </c>
      <c r="B675" s="164">
        <v>45689</v>
      </c>
      <c r="C675" s="163" t="str">
        <f t="shared" si="157"/>
        <v>Saturday</v>
      </c>
      <c r="D675" s="152" t="s">
        <v>519</v>
      </c>
      <c r="E675" s="153">
        <v>50</v>
      </c>
      <c r="F675" s="152" t="str">
        <f>VLOOKUP(G675,'Expenses Reference'!$A$1:$B$23,2, FALSE)</f>
        <v>Wants</v>
      </c>
      <c r="G675" s="152" t="s">
        <v>84</v>
      </c>
      <c r="H675" s="154" t="s">
        <v>528</v>
      </c>
      <c r="I675" s="154"/>
    </row>
    <row r="676" spans="1:9" s="152" customFormat="1" x14ac:dyDescent="0.3">
      <c r="A676" s="167" t="str">
        <f t="shared" si="156"/>
        <v>2025 02 (Feb)</v>
      </c>
      <c r="B676" s="164">
        <v>45689</v>
      </c>
      <c r="C676" s="163" t="str">
        <f t="shared" si="157"/>
        <v>Saturday</v>
      </c>
      <c r="D676" s="152" t="s">
        <v>520</v>
      </c>
      <c r="E676" s="153">
        <v>160</v>
      </c>
      <c r="F676" s="152" t="str">
        <f>VLOOKUP(G676,'Expenses Reference'!$A$1:$B$23,2, FALSE)</f>
        <v>Wants</v>
      </c>
      <c r="G676" s="152" t="s">
        <v>191</v>
      </c>
      <c r="H676" s="154" t="s">
        <v>528</v>
      </c>
      <c r="I676" s="154"/>
    </row>
    <row r="677" spans="1:9" s="152" customFormat="1" x14ac:dyDescent="0.3">
      <c r="A677" s="167" t="str">
        <f t="shared" si="156"/>
        <v>2025 02 (Feb)</v>
      </c>
      <c r="B677" s="164">
        <v>45689</v>
      </c>
      <c r="C677" s="163" t="str">
        <f t="shared" si="157"/>
        <v>Saturday</v>
      </c>
      <c r="D677" s="152" t="s">
        <v>521</v>
      </c>
      <c r="E677" s="153">
        <v>100</v>
      </c>
      <c r="F677" s="152" t="str">
        <f>VLOOKUP(G677,'Expenses Reference'!$A$1:$B$23,2, FALSE)</f>
        <v>Wants</v>
      </c>
      <c r="G677" s="152" t="s">
        <v>81</v>
      </c>
      <c r="H677" s="154" t="s">
        <v>528</v>
      </c>
      <c r="I677" s="154"/>
    </row>
    <row r="678" spans="1:9" s="152" customFormat="1" x14ac:dyDescent="0.3">
      <c r="A678" s="167" t="str">
        <f t="shared" si="156"/>
        <v>2025 02 (Feb)</v>
      </c>
      <c r="B678" s="164">
        <v>45689</v>
      </c>
      <c r="C678" s="163" t="str">
        <f t="shared" si="157"/>
        <v>Saturday</v>
      </c>
      <c r="D678" s="152" t="s">
        <v>522</v>
      </c>
      <c r="E678" s="153">
        <v>180</v>
      </c>
      <c r="F678" s="152" t="str">
        <f>VLOOKUP(G678,'Expenses Reference'!$A$1:$B$23,2, FALSE)</f>
        <v>Wants</v>
      </c>
      <c r="G678" s="152" t="s">
        <v>81</v>
      </c>
      <c r="H678" s="154" t="s">
        <v>528</v>
      </c>
      <c r="I678" s="154"/>
    </row>
    <row r="679" spans="1:9" s="152" customFormat="1" x14ac:dyDescent="0.3">
      <c r="A679" s="167" t="str">
        <f t="shared" si="156"/>
        <v>2025 02 (Feb)</v>
      </c>
      <c r="B679" s="164">
        <v>45689</v>
      </c>
      <c r="C679" s="163" t="str">
        <f t="shared" si="157"/>
        <v>Saturday</v>
      </c>
      <c r="D679" s="152" t="s">
        <v>523</v>
      </c>
      <c r="E679" s="153">
        <f>100/3</f>
        <v>33.333333333333336</v>
      </c>
      <c r="F679" s="152" t="str">
        <f>VLOOKUP(G679,'Expenses Reference'!$A$1:$B$23,2, FALSE)</f>
        <v>Wants</v>
      </c>
      <c r="G679" s="152" t="s">
        <v>81</v>
      </c>
      <c r="H679" s="154" t="s">
        <v>528</v>
      </c>
      <c r="I679" s="154"/>
    </row>
    <row r="680" spans="1:9" s="152" customFormat="1" x14ac:dyDescent="0.3">
      <c r="A680" s="167" t="str">
        <f t="shared" si="156"/>
        <v>2025 02 (Feb)</v>
      </c>
      <c r="B680" s="164">
        <v>45689</v>
      </c>
      <c r="C680" s="163" t="str">
        <f t="shared" si="157"/>
        <v>Saturday</v>
      </c>
      <c r="D680" s="152" t="s">
        <v>524</v>
      </c>
      <c r="E680" s="153">
        <v>160</v>
      </c>
      <c r="F680" s="152" t="str">
        <f>VLOOKUP(G680,'Expenses Reference'!$A$1:$B$23,2, FALSE)</f>
        <v>Wants</v>
      </c>
      <c r="G680" s="152" t="s">
        <v>191</v>
      </c>
      <c r="H680" s="154" t="s">
        <v>528</v>
      </c>
      <c r="I680" s="154"/>
    </row>
    <row r="681" spans="1:9" s="152" customFormat="1" x14ac:dyDescent="0.3">
      <c r="A681" s="167" t="str">
        <f t="shared" si="156"/>
        <v>2025 02 (Feb)</v>
      </c>
      <c r="B681" s="164">
        <v>45689</v>
      </c>
      <c r="C681" s="163" t="str">
        <f t="shared" si="157"/>
        <v>Saturday</v>
      </c>
      <c r="D681" s="152" t="s">
        <v>525</v>
      </c>
      <c r="E681" s="153">
        <v>50</v>
      </c>
      <c r="F681" s="152" t="str">
        <f>VLOOKUP(G681,'Expenses Reference'!$A$1:$B$23,2, FALSE)</f>
        <v>Wants</v>
      </c>
      <c r="G681" s="152" t="s">
        <v>81</v>
      </c>
      <c r="H681" s="154" t="s">
        <v>528</v>
      </c>
      <c r="I681" s="154"/>
    </row>
    <row r="682" spans="1:9" s="152" customFormat="1" x14ac:dyDescent="0.3">
      <c r="A682" s="167" t="str">
        <f t="shared" si="156"/>
        <v>2025 02 (Feb)</v>
      </c>
      <c r="B682" s="164">
        <v>45689</v>
      </c>
      <c r="C682" s="163" t="str">
        <f t="shared" si="157"/>
        <v>Saturday</v>
      </c>
      <c r="D682" s="152" t="s">
        <v>526</v>
      </c>
      <c r="E682" s="153">
        <v>45</v>
      </c>
      <c r="F682" s="152" t="str">
        <f>VLOOKUP(G682,'Expenses Reference'!$A$1:$B$23,2, FALSE)</f>
        <v>Wants</v>
      </c>
      <c r="G682" s="152" t="s">
        <v>84</v>
      </c>
      <c r="H682" s="154" t="s">
        <v>528</v>
      </c>
      <c r="I682" s="154"/>
    </row>
    <row r="683" spans="1:9" s="152" customFormat="1" x14ac:dyDescent="0.3">
      <c r="A683" s="167" t="str">
        <f t="shared" si="156"/>
        <v>2025 02 (Feb)</v>
      </c>
      <c r="B683" s="164">
        <v>45689</v>
      </c>
      <c r="C683" s="163" t="str">
        <f t="shared" si="157"/>
        <v>Saturday</v>
      </c>
      <c r="D683" s="152" t="s">
        <v>527</v>
      </c>
      <c r="E683" s="153">
        <v>47</v>
      </c>
      <c r="F683" s="152" t="str">
        <f>VLOOKUP(G683,'Expenses Reference'!$A$1:$B$23,2, FALSE)</f>
        <v>Wants</v>
      </c>
      <c r="G683" s="152" t="s">
        <v>84</v>
      </c>
      <c r="H683" s="154" t="s">
        <v>528</v>
      </c>
      <c r="I683" s="154"/>
    </row>
    <row r="684" spans="1:9" x14ac:dyDescent="0.3">
      <c r="A684" s="107" t="str">
        <f t="shared" si="156"/>
        <v>2025 02 (Feb)</v>
      </c>
      <c r="B684" s="165">
        <v>45690</v>
      </c>
      <c r="C684" s="162" t="str">
        <f t="shared" si="157"/>
        <v>Sunday</v>
      </c>
      <c r="D684" t="s">
        <v>529</v>
      </c>
      <c r="E684" s="2">
        <v>49</v>
      </c>
      <c r="F684" t="str">
        <f>VLOOKUP(G684,'Expenses Reference'!$A$1:$B$23,2, FALSE)</f>
        <v>Needs</v>
      </c>
      <c r="G684" t="s">
        <v>82</v>
      </c>
    </row>
    <row r="685" spans="1:9" x14ac:dyDescent="0.3">
      <c r="A685" s="107" t="str">
        <f t="shared" ref="A685:A687" si="158">_xlfn.CONCAT(YEAR(B685), " ", CHOOSE(MONTH(B685), "01 (Jan)", "02 (Feb)", "03 (Mar)", "04 (Apr)", "05 (May)", "06 (Jun)", "07 (Jul)", "08 (Aug)", "09 (Sep)", "10 (Oct)", "11 (Nov)", "12 (Dec)"))</f>
        <v>2025 02 (Feb)</v>
      </c>
      <c r="B685" s="165">
        <v>45690</v>
      </c>
      <c r="C685" s="162" t="str">
        <f t="shared" ref="C685:C687" si="159">CHOOSE(WEEKDAY(B685),"Sunday","Monday","Tuesday","Wednesday","Thursday","Friday","Saturday")</f>
        <v>Sunday</v>
      </c>
      <c r="D685" t="s">
        <v>531</v>
      </c>
      <c r="E685" s="2">
        <v>992</v>
      </c>
      <c r="F685" t="str">
        <f>VLOOKUP(G685,'Expenses Reference'!$A$1:$B$23,2, FALSE)</f>
        <v>Wants</v>
      </c>
      <c r="G685" t="s">
        <v>84</v>
      </c>
      <c r="H685" s="1" t="s">
        <v>530</v>
      </c>
    </row>
    <row r="686" spans="1:9" x14ac:dyDescent="0.3">
      <c r="A686" s="107" t="str">
        <f t="shared" si="158"/>
        <v>2025 02 (Feb)</v>
      </c>
      <c r="B686" s="165">
        <v>45690</v>
      </c>
      <c r="C686" s="162" t="str">
        <f t="shared" si="159"/>
        <v>Sunday</v>
      </c>
      <c r="D686" t="s">
        <v>532</v>
      </c>
      <c r="E686" s="2">
        <v>2526</v>
      </c>
      <c r="F686" t="str">
        <f>VLOOKUP(G686,'Expenses Reference'!$A$1:$B$23,2, FALSE)</f>
        <v>Wants</v>
      </c>
      <c r="G686" t="s">
        <v>81</v>
      </c>
      <c r="H686" s="1" t="s">
        <v>530</v>
      </c>
    </row>
    <row r="687" spans="1:9" x14ac:dyDescent="0.3">
      <c r="A687" s="107" t="str">
        <f t="shared" si="158"/>
        <v>2025 02 (Feb)</v>
      </c>
      <c r="B687" s="165">
        <v>45690</v>
      </c>
      <c r="C687" s="162" t="str">
        <f t="shared" si="159"/>
        <v>Sunday</v>
      </c>
      <c r="D687" t="s">
        <v>533</v>
      </c>
      <c r="E687" s="2">
        <v>345</v>
      </c>
      <c r="F687" t="str">
        <f>VLOOKUP(G687,'Expenses Reference'!$A$1:$B$23,2, FALSE)</f>
        <v>Wants</v>
      </c>
      <c r="G687" t="s">
        <v>81</v>
      </c>
    </row>
    <row r="688" spans="1:9" x14ac:dyDescent="0.3">
      <c r="A688" s="107" t="str">
        <f t="shared" ref="A688:A692" si="160">_xlfn.CONCAT(YEAR(B688), " ", CHOOSE(MONTH(B688), "01 (Jan)", "02 (Feb)", "03 (Mar)", "04 (Apr)", "05 (May)", "06 (Jun)", "07 (Jul)", "08 (Aug)", "09 (Sep)", "10 (Oct)", "11 (Nov)", "12 (Dec)"))</f>
        <v>2025 02 (Feb)</v>
      </c>
      <c r="B688" s="165">
        <v>45690</v>
      </c>
      <c r="C688" s="162" t="str">
        <f t="shared" ref="C688:C692" si="161">CHOOSE(WEEKDAY(B688),"Sunday","Monday","Tuesday","Wednesday","Thursday","Friday","Saturday")</f>
        <v>Sunday</v>
      </c>
      <c r="D688" t="s">
        <v>534</v>
      </c>
      <c r="E688" s="2">
        <v>260</v>
      </c>
      <c r="F688" t="str">
        <f>VLOOKUP(G688,'Expenses Reference'!$A$1:$B$23,2, FALSE)</f>
        <v>Wants</v>
      </c>
      <c r="G688" t="s">
        <v>81</v>
      </c>
    </row>
    <row r="689" spans="1:9" s="152" customFormat="1" x14ac:dyDescent="0.3">
      <c r="A689" s="167" t="str">
        <f t="shared" si="160"/>
        <v>2025 02 (Feb)</v>
      </c>
      <c r="B689" s="164">
        <v>45691</v>
      </c>
      <c r="C689" s="163" t="str">
        <f t="shared" si="161"/>
        <v>Monday</v>
      </c>
      <c r="D689" s="152" t="s">
        <v>418</v>
      </c>
      <c r="E689" s="153">
        <v>17000</v>
      </c>
      <c r="F689" s="152" t="str">
        <f>VLOOKUP(G689,'Expenses Reference'!$A$1:$B$23,2, FALSE)</f>
        <v>Investments</v>
      </c>
      <c r="G689" s="152" t="s">
        <v>217</v>
      </c>
      <c r="H689" s="154"/>
      <c r="I689" s="154"/>
    </row>
    <row r="690" spans="1:9" x14ac:dyDescent="0.3">
      <c r="A690" s="107" t="str">
        <f t="shared" si="160"/>
        <v>2025 02 (Feb)</v>
      </c>
      <c r="B690" s="165">
        <v>45692</v>
      </c>
      <c r="C690" s="162" t="str">
        <f t="shared" si="161"/>
        <v>Tuesday</v>
      </c>
      <c r="D690" t="s">
        <v>65</v>
      </c>
      <c r="E690" s="2">
        <v>1298</v>
      </c>
      <c r="F690" t="str">
        <f>VLOOKUP(G690,'Expenses Reference'!$A$1:$B$23,2, FALSE)</f>
        <v>Wants</v>
      </c>
      <c r="G690" t="s">
        <v>81</v>
      </c>
    </row>
    <row r="691" spans="1:9" s="152" customFormat="1" x14ac:dyDescent="0.3">
      <c r="A691" s="167" t="str">
        <f t="shared" si="160"/>
        <v>2025 02 (Feb)</v>
      </c>
      <c r="B691" s="164">
        <v>45693</v>
      </c>
      <c r="C691" s="163" t="str">
        <f t="shared" si="161"/>
        <v>Wednesday</v>
      </c>
      <c r="D691" s="152" t="s">
        <v>437</v>
      </c>
      <c r="E691" s="153">
        <v>60</v>
      </c>
      <c r="F691" s="152" t="str">
        <f>VLOOKUP(G691,'Expenses Reference'!$A$1:$B$23,2, FALSE)</f>
        <v>Needs</v>
      </c>
      <c r="G691" s="152" t="s">
        <v>213</v>
      </c>
      <c r="H691" s="154"/>
      <c r="I691" s="154"/>
    </row>
    <row r="692" spans="1:9" s="152" customFormat="1" x14ac:dyDescent="0.3">
      <c r="A692" s="167" t="str">
        <f t="shared" si="160"/>
        <v>2025 02 (Feb)</v>
      </c>
      <c r="B692" s="164">
        <v>45693</v>
      </c>
      <c r="C692" s="163" t="str">
        <f t="shared" si="161"/>
        <v>Wednesday</v>
      </c>
      <c r="D692" s="152" t="s">
        <v>67</v>
      </c>
      <c r="E692" s="153">
        <v>10</v>
      </c>
      <c r="F692" s="152" t="str">
        <f>VLOOKUP(G692,'Expenses Reference'!$A$1:$B$23,2, FALSE)</f>
        <v>Needs</v>
      </c>
      <c r="G692" s="152" t="s">
        <v>35</v>
      </c>
      <c r="H692" s="154"/>
      <c r="I692" s="154"/>
    </row>
    <row r="693" spans="1:9" s="152" customFormat="1" x14ac:dyDescent="0.3">
      <c r="A693" s="167" t="str">
        <f t="shared" ref="A693" si="162">_xlfn.CONCAT(YEAR(B693), " ", CHOOSE(MONTH(B693), "01 (Jan)", "02 (Feb)", "03 (Mar)", "04 (Apr)", "05 (May)", "06 (Jun)", "07 (Jul)", "08 (Aug)", "09 (Sep)", "10 (Oct)", "11 (Nov)", "12 (Dec)"))</f>
        <v>2025 02 (Feb)</v>
      </c>
      <c r="B693" s="164">
        <v>45693</v>
      </c>
      <c r="C693" s="163" t="str">
        <f t="shared" ref="C693" si="163">CHOOSE(WEEKDAY(B693),"Sunday","Monday","Tuesday","Wednesday","Thursday","Friday","Saturday")</f>
        <v>Wednesday</v>
      </c>
      <c r="D693" s="152" t="s">
        <v>65</v>
      </c>
      <c r="E693" s="153">
        <v>470</v>
      </c>
      <c r="F693" s="152" t="str">
        <f>VLOOKUP(G693,'Expenses Reference'!$A$1:$B$23,2, FALSE)</f>
        <v>Wants</v>
      </c>
      <c r="G693" s="152" t="s">
        <v>81</v>
      </c>
      <c r="H693" s="154"/>
      <c r="I693" s="154"/>
    </row>
    <row r="694" spans="1:9" x14ac:dyDescent="0.3">
      <c r="A694" s="107" t="str">
        <f t="shared" ref="A694" si="164">_xlfn.CONCAT(YEAR(B694), " ", CHOOSE(MONTH(B694), "01 (Jan)", "02 (Feb)", "03 (Mar)", "04 (Apr)", "05 (May)", "06 (Jun)", "07 (Jul)", "08 (Aug)", "09 (Sep)", "10 (Oct)", "11 (Nov)", "12 (Dec)"))</f>
        <v>2025 02 (Feb)</v>
      </c>
      <c r="B694" s="165">
        <v>45694</v>
      </c>
      <c r="C694" s="162" t="str">
        <f t="shared" ref="C694" si="165">CHOOSE(WEEKDAY(B694),"Sunday","Monday","Tuesday","Wednesday","Thursday","Friday","Saturday")</f>
        <v>Thursday</v>
      </c>
      <c r="D694" t="s">
        <v>460</v>
      </c>
      <c r="E694" s="2">
        <v>48</v>
      </c>
      <c r="F694" t="str">
        <f>VLOOKUP(G694,'Expenses Reference'!$A$1:$B$23,2, FALSE)</f>
        <v>Needs</v>
      </c>
      <c r="G694" t="s">
        <v>213</v>
      </c>
    </row>
    <row r="695" spans="1:9" x14ac:dyDescent="0.3">
      <c r="A695" s="107" t="str">
        <f t="shared" ref="A695:A696" si="166">_xlfn.CONCAT(YEAR(B695), " ", CHOOSE(MONTH(B695), "01 (Jan)", "02 (Feb)", "03 (Mar)", "04 (Apr)", "05 (May)", "06 (Jun)", "07 (Jul)", "08 (Aug)", "09 (Sep)", "10 (Oct)", "11 (Nov)", "12 (Dec)"))</f>
        <v>2025 02 (Feb)</v>
      </c>
      <c r="B695" s="165">
        <v>45694</v>
      </c>
      <c r="C695" s="162" t="str">
        <f t="shared" ref="C695:C696" si="167">CHOOSE(WEEKDAY(B695),"Sunday","Monday","Tuesday","Wednesday","Thursday","Friday","Saturday")</f>
        <v>Thursday</v>
      </c>
      <c r="D695" t="s">
        <v>67</v>
      </c>
      <c r="E695" s="2">
        <v>87</v>
      </c>
      <c r="F695" t="str">
        <f>VLOOKUP(G695,'Expenses Reference'!$A$1:$B$23,2, FALSE)</f>
        <v>Needs</v>
      </c>
      <c r="G695" t="s">
        <v>35</v>
      </c>
    </row>
    <row r="696" spans="1:9" x14ac:dyDescent="0.3">
      <c r="A696" s="107" t="str">
        <f t="shared" si="166"/>
        <v>2025 02 (Feb)</v>
      </c>
      <c r="B696" s="165">
        <v>45694</v>
      </c>
      <c r="C696" s="162" t="str">
        <f t="shared" si="167"/>
        <v>Thursday</v>
      </c>
      <c r="D696" t="s">
        <v>83</v>
      </c>
      <c r="E696" s="2">
        <v>200</v>
      </c>
      <c r="F696" t="str">
        <f>VLOOKUP(G696,'Expenses Reference'!$A$1:$B$23,2, FALSE)</f>
        <v>Wants</v>
      </c>
      <c r="G696" t="s">
        <v>288</v>
      </c>
    </row>
    <row r="697" spans="1:9" x14ac:dyDescent="0.3">
      <c r="A697" s="107" t="str">
        <f t="shared" ref="A697" si="168">_xlfn.CONCAT(YEAR(B697), " ", CHOOSE(MONTH(B697), "01 (Jan)", "02 (Feb)", "03 (Mar)", "04 (Apr)", "05 (May)", "06 (Jun)", "07 (Jul)", "08 (Aug)", "09 (Sep)", "10 (Oct)", "11 (Nov)", "12 (Dec)"))</f>
        <v>2025 02 (Feb)</v>
      </c>
      <c r="B697" s="165">
        <v>45694</v>
      </c>
      <c r="C697" s="162" t="str">
        <f t="shared" ref="C697" si="169">CHOOSE(WEEKDAY(B697),"Sunday","Monday","Tuesday","Wednesday","Thursday","Friday","Saturday")</f>
        <v>Thursday</v>
      </c>
      <c r="D697" t="s">
        <v>114</v>
      </c>
      <c r="E697" s="2">
        <v>586</v>
      </c>
      <c r="F697" t="str">
        <f>VLOOKUP(G697,'Expenses Reference'!$A$1:$B$23,2, FALSE)</f>
        <v>Wants</v>
      </c>
      <c r="G697" t="s">
        <v>81</v>
      </c>
    </row>
    <row r="698" spans="1:9" s="152" customFormat="1" x14ac:dyDescent="0.3">
      <c r="A698" s="167" t="str">
        <f t="shared" ref="A698" si="170">_xlfn.CONCAT(YEAR(B698), " ", CHOOSE(MONTH(B698), "01 (Jan)", "02 (Feb)", "03 (Mar)", "04 (Apr)", "05 (May)", "06 (Jun)", "07 (Jul)", "08 (Aug)", "09 (Sep)", "10 (Oct)", "11 (Nov)", "12 (Dec)"))</f>
        <v>2025 02 (Feb)</v>
      </c>
      <c r="B698" s="164">
        <v>45695</v>
      </c>
      <c r="C698" s="163" t="str">
        <f t="shared" ref="C698" si="171">CHOOSE(WEEKDAY(B698),"Sunday","Monday","Tuesday","Wednesday","Thursday","Friday","Saturday")</f>
        <v>Friday</v>
      </c>
      <c r="D698" s="152" t="s">
        <v>460</v>
      </c>
      <c r="E698" s="153">
        <v>39</v>
      </c>
      <c r="F698" s="152" t="str">
        <f>VLOOKUP(G698,'Expenses Reference'!$A$1:$B$23,2, FALSE)</f>
        <v>Wants</v>
      </c>
      <c r="G698" s="152" t="s">
        <v>81</v>
      </c>
      <c r="H698" s="154"/>
      <c r="I698" s="154"/>
    </row>
    <row r="699" spans="1:9" s="152" customFormat="1" x14ac:dyDescent="0.3">
      <c r="A699" s="167" t="str">
        <f t="shared" ref="A699:A702" si="172">_xlfn.CONCAT(YEAR(B699), " ", CHOOSE(MONTH(B699), "01 (Jan)", "02 (Feb)", "03 (Mar)", "04 (Apr)", "05 (May)", "06 (Jun)", "07 (Jul)", "08 (Aug)", "09 (Sep)", "10 (Oct)", "11 (Nov)", "12 (Dec)"))</f>
        <v>2025 02 (Feb)</v>
      </c>
      <c r="B699" s="164">
        <v>45695</v>
      </c>
      <c r="C699" s="163" t="str">
        <f t="shared" ref="C699:C702" si="173">CHOOSE(WEEKDAY(B699),"Sunday","Monday","Tuesday","Wednesday","Thursday","Friday","Saturday")</f>
        <v>Friday</v>
      </c>
      <c r="D699" s="152" t="s">
        <v>136</v>
      </c>
      <c r="E699" s="153">
        <v>119</v>
      </c>
      <c r="F699" s="152" t="str">
        <f>VLOOKUP(G699,'Expenses Reference'!$A$1:$B$23,2, FALSE)</f>
        <v>Wants</v>
      </c>
      <c r="G699" s="152" t="s">
        <v>54</v>
      </c>
      <c r="H699" s="154"/>
      <c r="I699" s="154"/>
    </row>
    <row r="700" spans="1:9" s="152" customFormat="1" x14ac:dyDescent="0.3">
      <c r="A700" s="167" t="str">
        <f t="shared" si="172"/>
        <v>2025 02 (Feb)</v>
      </c>
      <c r="B700" s="164">
        <v>45695</v>
      </c>
      <c r="C700" s="163" t="str">
        <f t="shared" si="173"/>
        <v>Friday</v>
      </c>
      <c r="D700" s="152" t="s">
        <v>535</v>
      </c>
      <c r="E700" s="153">
        <v>350</v>
      </c>
      <c r="F700" s="152" t="str">
        <f>VLOOKUP(G700,'Expenses Reference'!$A$1:$B$23,2, FALSE)</f>
        <v>Needs</v>
      </c>
      <c r="G700" s="152" t="s">
        <v>34</v>
      </c>
      <c r="H700" s="154"/>
      <c r="I700" s="154"/>
    </row>
    <row r="701" spans="1:9" s="152" customFormat="1" x14ac:dyDescent="0.3">
      <c r="A701" s="167" t="str">
        <f t="shared" si="172"/>
        <v>2025 02 (Feb)</v>
      </c>
      <c r="B701" s="164">
        <v>45695</v>
      </c>
      <c r="C701" s="163" t="str">
        <f t="shared" si="173"/>
        <v>Friday</v>
      </c>
      <c r="D701" s="152" t="s">
        <v>207</v>
      </c>
      <c r="E701" s="153">
        <v>68</v>
      </c>
      <c r="F701" s="152" t="str">
        <f>VLOOKUP(G701,'Expenses Reference'!$A$1:$B$23,2, FALSE)</f>
        <v>Wants</v>
      </c>
      <c r="G701" s="152" t="s">
        <v>84</v>
      </c>
      <c r="H701" s="154"/>
      <c r="I701" s="154"/>
    </row>
    <row r="702" spans="1:9" x14ac:dyDescent="0.3">
      <c r="A702" s="107" t="str">
        <f t="shared" si="172"/>
        <v>2025 02 (Feb)</v>
      </c>
      <c r="B702" s="165">
        <v>45696</v>
      </c>
      <c r="C702" s="162" t="str">
        <f t="shared" si="173"/>
        <v>Saturday</v>
      </c>
      <c r="D702" t="s">
        <v>65</v>
      </c>
      <c r="E702" s="2">
        <v>328</v>
      </c>
      <c r="F702" t="str">
        <f>VLOOKUP(G702,'Expenses Reference'!$A$1:$B$23,2, FALSE)</f>
        <v>Wants</v>
      </c>
      <c r="G702" t="s">
        <v>81</v>
      </c>
    </row>
    <row r="703" spans="1:9" x14ac:dyDescent="0.3">
      <c r="A703" s="107" t="str">
        <f t="shared" ref="A703:A716" si="174">_xlfn.CONCAT(YEAR(B703), " ", CHOOSE(MONTH(B703), "01 (Jan)", "02 (Feb)", "03 (Mar)", "04 (Apr)", "05 (May)", "06 (Jun)", "07 (Jul)", "08 (Aug)", "09 (Sep)", "10 (Oct)", "11 (Nov)", "12 (Dec)"))</f>
        <v>2025 02 (Feb)</v>
      </c>
      <c r="B703" s="165">
        <v>45696</v>
      </c>
      <c r="C703" s="162" t="str">
        <f t="shared" ref="C703:C716" si="175">CHOOSE(WEEKDAY(B703),"Sunday","Monday","Tuesday","Wednesday","Thursday","Friday","Saturday")</f>
        <v>Saturday</v>
      </c>
      <c r="D703" t="s">
        <v>517</v>
      </c>
      <c r="E703" s="2">
        <v>36</v>
      </c>
      <c r="F703" t="str">
        <f>VLOOKUP(G703,'Expenses Reference'!$A$1:$B$23,2, FALSE)</f>
        <v>Wants</v>
      </c>
      <c r="G703" t="s">
        <v>84</v>
      </c>
    </row>
    <row r="704" spans="1:9" x14ac:dyDescent="0.3">
      <c r="A704" s="107" t="str">
        <f t="shared" si="174"/>
        <v>2025 02 (Feb)</v>
      </c>
      <c r="B704" s="165">
        <v>45696</v>
      </c>
      <c r="C704" s="162" t="str">
        <f t="shared" si="175"/>
        <v>Saturday</v>
      </c>
      <c r="D704" t="s">
        <v>186</v>
      </c>
      <c r="E704" s="2">
        <v>40</v>
      </c>
      <c r="F704" t="str">
        <f>VLOOKUP(G704,'Expenses Reference'!$A$1:$B$23,2, FALSE)</f>
        <v>Wants</v>
      </c>
      <c r="G704" t="s">
        <v>81</v>
      </c>
    </row>
    <row r="705" spans="1:9" x14ac:dyDescent="0.3">
      <c r="A705" s="107" t="str">
        <f t="shared" si="174"/>
        <v>2025 02 (Feb)</v>
      </c>
      <c r="B705" s="165">
        <v>45696</v>
      </c>
      <c r="C705" s="162" t="str">
        <f t="shared" si="175"/>
        <v>Saturday</v>
      </c>
      <c r="D705" t="s">
        <v>536</v>
      </c>
      <c r="E705" s="2">
        <v>40</v>
      </c>
      <c r="F705" t="str">
        <f>VLOOKUP(G705,'Expenses Reference'!$A$1:$B$23,2, FALSE)</f>
        <v>Wants</v>
      </c>
      <c r="G705" t="s">
        <v>84</v>
      </c>
    </row>
    <row r="706" spans="1:9" x14ac:dyDescent="0.3">
      <c r="A706" s="107" t="str">
        <f t="shared" si="174"/>
        <v>2025 02 (Feb)</v>
      </c>
      <c r="B706" s="165">
        <v>45696</v>
      </c>
      <c r="C706" s="162" t="str">
        <f t="shared" si="175"/>
        <v>Saturday</v>
      </c>
      <c r="D706" t="s">
        <v>542</v>
      </c>
      <c r="E706" s="2">
        <f>70+200+150</f>
        <v>420</v>
      </c>
      <c r="F706" t="str">
        <f>VLOOKUP(G706,'Expenses Reference'!$A$1:$B$23,2, FALSE)</f>
        <v>Wants</v>
      </c>
      <c r="G706" t="s">
        <v>81</v>
      </c>
    </row>
    <row r="707" spans="1:9" x14ac:dyDescent="0.3">
      <c r="A707" s="107" t="str">
        <f t="shared" si="174"/>
        <v>2025 02 (Feb)</v>
      </c>
      <c r="B707" s="165">
        <v>45696</v>
      </c>
      <c r="C707" s="162" t="str">
        <f t="shared" si="175"/>
        <v>Saturday</v>
      </c>
      <c r="D707" t="s">
        <v>541</v>
      </c>
      <c r="E707" s="2">
        <f>269</f>
        <v>269</v>
      </c>
      <c r="F707" t="str">
        <f>VLOOKUP(G707,'Expenses Reference'!$A$1:$B$23,2, FALSE)</f>
        <v>Wants</v>
      </c>
      <c r="G707" t="s">
        <v>81</v>
      </c>
      <c r="I707" s="1" t="s">
        <v>543</v>
      </c>
    </row>
    <row r="708" spans="1:9" x14ac:dyDescent="0.3">
      <c r="A708" s="107" t="str">
        <f t="shared" si="174"/>
        <v>2025 02 (Feb)</v>
      </c>
      <c r="B708" s="165">
        <v>45696</v>
      </c>
      <c r="C708" s="162" t="str">
        <f t="shared" si="175"/>
        <v>Saturday</v>
      </c>
      <c r="D708" t="s">
        <v>537</v>
      </c>
      <c r="E708" s="2">
        <v>25</v>
      </c>
      <c r="F708" t="str">
        <f>VLOOKUP(G708,'Expenses Reference'!$A$1:$B$23,2, FALSE)</f>
        <v>Wants</v>
      </c>
      <c r="G708" t="s">
        <v>84</v>
      </c>
    </row>
    <row r="709" spans="1:9" x14ac:dyDescent="0.3">
      <c r="A709" s="107" t="str">
        <f t="shared" si="174"/>
        <v>2025 02 (Feb)</v>
      </c>
      <c r="B709" s="165">
        <v>45696</v>
      </c>
      <c r="C709" s="162" t="str">
        <f t="shared" si="175"/>
        <v>Saturday</v>
      </c>
      <c r="D709" t="s">
        <v>519</v>
      </c>
      <c r="E709" s="2">
        <v>50</v>
      </c>
      <c r="F709" t="str">
        <f>VLOOKUP(G709,'Expenses Reference'!$A$1:$B$23,2, FALSE)</f>
        <v>Wants</v>
      </c>
      <c r="G709" t="s">
        <v>215</v>
      </c>
    </row>
    <row r="710" spans="1:9" x14ac:dyDescent="0.3">
      <c r="A710" s="107" t="str">
        <f t="shared" si="174"/>
        <v>2025 02 (Feb)</v>
      </c>
      <c r="B710" s="165">
        <v>45696</v>
      </c>
      <c r="C710" s="162" t="str">
        <f t="shared" si="175"/>
        <v>Saturday</v>
      </c>
      <c r="D710" t="s">
        <v>538</v>
      </c>
      <c r="E710" s="2">
        <v>50</v>
      </c>
      <c r="F710" t="str">
        <f>VLOOKUP(G710,'Expenses Reference'!$A$1:$B$23,2, FALSE)</f>
        <v>Wants</v>
      </c>
      <c r="G710" t="s">
        <v>81</v>
      </c>
    </row>
    <row r="711" spans="1:9" x14ac:dyDescent="0.3">
      <c r="A711" s="107" t="str">
        <f t="shared" si="174"/>
        <v>2025 02 (Feb)</v>
      </c>
      <c r="B711" s="165">
        <v>45696</v>
      </c>
      <c r="C711" s="162" t="str">
        <f t="shared" si="175"/>
        <v>Saturday</v>
      </c>
      <c r="D711" t="s">
        <v>539</v>
      </c>
      <c r="E711" s="2">
        <f>150+300</f>
        <v>450</v>
      </c>
      <c r="F711" t="str">
        <f>VLOOKUP(G711,'Expenses Reference'!$A$1:$B$23,2, FALSE)</f>
        <v>Wants</v>
      </c>
      <c r="G711" t="s">
        <v>215</v>
      </c>
    </row>
    <row r="712" spans="1:9" x14ac:dyDescent="0.3">
      <c r="A712" s="107" t="str">
        <f t="shared" si="174"/>
        <v>2025 02 (Feb)</v>
      </c>
      <c r="B712" s="165">
        <v>45696</v>
      </c>
      <c r="C712" s="162" t="str">
        <f t="shared" si="175"/>
        <v>Saturday</v>
      </c>
      <c r="D712" t="s">
        <v>544</v>
      </c>
      <c r="E712" s="2">
        <v>68</v>
      </c>
      <c r="F712" t="str">
        <f>VLOOKUP(G712,'Expenses Reference'!$A$1:$B$23,2, FALSE)</f>
        <v>Wants</v>
      </c>
      <c r="G712" t="s">
        <v>81</v>
      </c>
    </row>
    <row r="713" spans="1:9" x14ac:dyDescent="0.3">
      <c r="A713" s="107" t="str">
        <f t="shared" ref="A713" si="176">_xlfn.CONCAT(YEAR(B713), " ", CHOOSE(MONTH(B713), "01 (Jan)", "02 (Feb)", "03 (Mar)", "04 (Apr)", "05 (May)", "06 (Jun)", "07 (Jul)", "08 (Aug)", "09 (Sep)", "10 (Oct)", "11 (Nov)", "12 (Dec)"))</f>
        <v>2025 02 (Feb)</v>
      </c>
      <c r="B713" s="165">
        <v>45696</v>
      </c>
      <c r="C713" s="162" t="str">
        <f t="shared" ref="C713" si="177">CHOOSE(WEEKDAY(B713),"Sunday","Monday","Tuesday","Wednesday","Thursday","Friday","Saturday")</f>
        <v>Saturday</v>
      </c>
      <c r="D713" t="s">
        <v>540</v>
      </c>
      <c r="E713" s="2">
        <v>45</v>
      </c>
      <c r="F713" t="str">
        <f>VLOOKUP(G713,'Expenses Reference'!$A$1:$B$23,2, FALSE)</f>
        <v>Wants</v>
      </c>
      <c r="G713" t="s">
        <v>84</v>
      </c>
    </row>
    <row r="714" spans="1:9" x14ac:dyDescent="0.3">
      <c r="A714" s="107" t="str">
        <f t="shared" si="174"/>
        <v>2025 02 (Feb)</v>
      </c>
      <c r="B714" s="165">
        <v>45696</v>
      </c>
      <c r="C714" s="162" t="str">
        <f t="shared" si="175"/>
        <v>Saturday</v>
      </c>
      <c r="D714" t="s">
        <v>547</v>
      </c>
      <c r="E714" s="2">
        <v>70</v>
      </c>
      <c r="F714" t="str">
        <f>VLOOKUP(G714,'Expenses Reference'!$A$1:$B$23,2, FALSE)</f>
        <v>Wants</v>
      </c>
      <c r="G714" t="s">
        <v>81</v>
      </c>
    </row>
    <row r="715" spans="1:9" x14ac:dyDescent="0.3">
      <c r="A715" s="107" t="str">
        <f t="shared" si="174"/>
        <v>2025 02 (Feb)</v>
      </c>
      <c r="B715" s="165">
        <v>45696</v>
      </c>
      <c r="C715" s="162" t="str">
        <f t="shared" si="175"/>
        <v>Saturday</v>
      </c>
      <c r="D715" t="s">
        <v>446</v>
      </c>
      <c r="E715" s="2">
        <v>33</v>
      </c>
      <c r="F715" t="str">
        <f>VLOOKUP(G715,'Expenses Reference'!$A$1:$B$23,2, FALSE)</f>
        <v>Wants</v>
      </c>
      <c r="G715" t="s">
        <v>84</v>
      </c>
    </row>
    <row r="716" spans="1:9" s="152" customFormat="1" x14ac:dyDescent="0.3">
      <c r="A716" s="167" t="str">
        <f t="shared" si="174"/>
        <v>2025 02 (Feb)</v>
      </c>
      <c r="B716" s="164">
        <v>45697</v>
      </c>
      <c r="C716" s="163" t="str">
        <f t="shared" si="175"/>
        <v>Sunday</v>
      </c>
      <c r="D716" s="152" t="s">
        <v>65</v>
      </c>
      <c r="E716" s="153">
        <v>600</v>
      </c>
      <c r="F716" s="152" t="str">
        <f>VLOOKUP(G716,'Expenses Reference'!$A$1:$B$23,2, FALSE)</f>
        <v>Wants</v>
      </c>
      <c r="G716" s="152" t="s">
        <v>81</v>
      </c>
      <c r="H716" s="154"/>
      <c r="I716" s="154"/>
    </row>
    <row r="717" spans="1:9" s="152" customFormat="1" x14ac:dyDescent="0.3">
      <c r="A717" s="167" t="str">
        <f t="shared" ref="A717" si="178">_xlfn.CONCAT(YEAR(B717), " ", CHOOSE(MONTH(B717), "01 (Jan)", "02 (Feb)", "03 (Mar)", "04 (Apr)", "05 (May)", "06 (Jun)", "07 (Jul)", "08 (Aug)", "09 (Sep)", "10 (Oct)", "11 (Nov)", "12 (Dec)"))</f>
        <v>2025 02 (Feb)</v>
      </c>
      <c r="B717" s="164">
        <v>45697</v>
      </c>
      <c r="C717" s="163" t="str">
        <f t="shared" ref="C717" si="179">CHOOSE(WEEKDAY(B717),"Sunday","Monday","Tuesday","Wednesday","Thursday","Friday","Saturday")</f>
        <v>Sunday</v>
      </c>
      <c r="D717" s="152" t="s">
        <v>66</v>
      </c>
      <c r="E717" s="153">
        <v>200</v>
      </c>
      <c r="F717" s="152" t="str">
        <f>VLOOKUP(G717,'Expenses Reference'!$A$1:$B$23,2, FALSE)</f>
        <v>Wants</v>
      </c>
      <c r="G717" s="152" t="s">
        <v>81</v>
      </c>
      <c r="H717" s="154"/>
      <c r="I717" s="154"/>
    </row>
    <row r="718" spans="1:9" s="152" customFormat="1" x14ac:dyDescent="0.3">
      <c r="A718" s="167" t="str">
        <f t="shared" ref="A718" si="180">_xlfn.CONCAT(YEAR(B718), " ", CHOOSE(MONTH(B718), "01 (Jan)", "02 (Feb)", "03 (Mar)", "04 (Apr)", "05 (May)", "06 (Jun)", "07 (Jul)", "08 (Aug)", "09 (Sep)", "10 (Oct)", "11 (Nov)", "12 (Dec)"))</f>
        <v>2025 02 (Feb)</v>
      </c>
      <c r="B718" s="164">
        <v>45697</v>
      </c>
      <c r="C718" s="163" t="str">
        <f t="shared" ref="C718" si="181">CHOOSE(WEEKDAY(B718),"Sunday","Monday","Tuesday","Wednesday","Thursday","Friday","Saturday")</f>
        <v>Sunday</v>
      </c>
      <c r="D718" s="152" t="s">
        <v>66</v>
      </c>
      <c r="E718" s="153">
        <v>477</v>
      </c>
      <c r="F718" s="152" t="str">
        <f>VLOOKUP(G718,'Expenses Reference'!$A$1:$B$23,2, FALSE)</f>
        <v>Needs</v>
      </c>
      <c r="G718" s="152" t="s">
        <v>34</v>
      </c>
      <c r="H718" s="154"/>
      <c r="I718" s="154"/>
    </row>
    <row r="719" spans="1:9" s="152" customFormat="1" x14ac:dyDescent="0.3">
      <c r="A719" s="167" t="str">
        <f t="shared" ref="A719:A721" si="182">_xlfn.CONCAT(YEAR(B719), " ", CHOOSE(MONTH(B719), "01 (Jan)", "02 (Feb)", "03 (Mar)", "04 (Apr)", "05 (May)", "06 (Jun)", "07 (Jul)", "08 (Aug)", "09 (Sep)", "10 (Oct)", "11 (Nov)", "12 (Dec)"))</f>
        <v>2025 02 (Feb)</v>
      </c>
      <c r="B719" s="164">
        <v>45699</v>
      </c>
      <c r="C719" s="163" t="str">
        <f t="shared" ref="C719:C721" si="183">CHOOSE(WEEKDAY(B719),"Sunday","Monday","Tuesday","Wednesday","Thursday","Friday","Saturday")</f>
        <v>Tuesday</v>
      </c>
      <c r="D719" s="152" t="s">
        <v>545</v>
      </c>
      <c r="E719" s="153">
        <v>266</v>
      </c>
      <c r="F719" s="152" t="str">
        <f>VLOOKUP(G719,'Expenses Reference'!$A$1:$B$23,2, FALSE)</f>
        <v>Wants</v>
      </c>
      <c r="G719" s="152" t="s">
        <v>203</v>
      </c>
      <c r="H719" s="154" t="s">
        <v>501</v>
      </c>
      <c r="I719" s="154"/>
    </row>
    <row r="720" spans="1:9" s="152" customFormat="1" x14ac:dyDescent="0.3">
      <c r="A720" s="167" t="str">
        <f t="shared" si="182"/>
        <v>2025 02 (Feb)</v>
      </c>
      <c r="B720" s="164">
        <v>45699</v>
      </c>
      <c r="C720" s="163" t="str">
        <f t="shared" si="183"/>
        <v>Tuesday</v>
      </c>
      <c r="D720" s="152" t="s">
        <v>546</v>
      </c>
      <c r="E720" s="153">
        <f>328+50</f>
        <v>378</v>
      </c>
      <c r="F720" s="152" t="str">
        <f>VLOOKUP(G720,'Expenses Reference'!$A$1:$B$23,2, FALSE)</f>
        <v>Wants</v>
      </c>
      <c r="G720" s="152" t="s">
        <v>81</v>
      </c>
      <c r="H720" s="154"/>
      <c r="I720" s="154"/>
    </row>
    <row r="721" spans="1:9" s="152" customFormat="1" x14ac:dyDescent="0.3">
      <c r="A721" s="167" t="str">
        <f t="shared" si="182"/>
        <v>2025 02 (Feb)</v>
      </c>
      <c r="B721" s="164">
        <v>45700</v>
      </c>
      <c r="C721" s="163" t="str">
        <f t="shared" si="183"/>
        <v>Wednesday</v>
      </c>
      <c r="D721" s="152" t="s">
        <v>281</v>
      </c>
      <c r="E721" s="153">
        <v>40</v>
      </c>
      <c r="F721" s="152" t="str">
        <f>VLOOKUP(G721,'Expenses Reference'!$A$1:$B$23,2, FALSE)</f>
        <v>Needs</v>
      </c>
      <c r="G721" s="152" t="s">
        <v>213</v>
      </c>
      <c r="H721" s="154"/>
      <c r="I721" s="154"/>
    </row>
    <row r="722" spans="1:9" s="152" customFormat="1" x14ac:dyDescent="0.3">
      <c r="A722" s="167" t="str">
        <f t="shared" ref="A722:A727" si="184">_xlfn.CONCAT(YEAR(B722), " ", CHOOSE(MONTH(B722), "01 (Jan)", "02 (Feb)", "03 (Mar)", "04 (Apr)", "05 (May)", "06 (Jun)", "07 (Jul)", "08 (Aug)", "09 (Sep)", "10 (Oct)", "11 (Nov)", "12 (Dec)"))</f>
        <v>2025 02 (Feb)</v>
      </c>
      <c r="B722" s="164">
        <v>45700</v>
      </c>
      <c r="C722" s="163" t="str">
        <f t="shared" ref="C722:C727" si="185">CHOOSE(WEEKDAY(B722),"Sunday","Monday","Tuesday","Wednesday","Thursday","Friday","Saturday")</f>
        <v>Wednesday</v>
      </c>
      <c r="D722" s="152" t="s">
        <v>67</v>
      </c>
      <c r="E722" s="153">
        <f>15+90</f>
        <v>105</v>
      </c>
      <c r="F722" s="152" t="str">
        <f>VLOOKUP(G722,'Expenses Reference'!$A$1:$B$23,2, FALSE)</f>
        <v>Needs</v>
      </c>
      <c r="G722" s="152" t="s">
        <v>35</v>
      </c>
      <c r="H722" s="154"/>
      <c r="I722" s="154"/>
    </row>
    <row r="723" spans="1:9" s="152" customFormat="1" x14ac:dyDescent="0.3">
      <c r="A723" s="167" t="str">
        <f t="shared" si="184"/>
        <v>2025 02 (Feb)</v>
      </c>
      <c r="B723" s="164">
        <v>45700</v>
      </c>
      <c r="C723" s="163" t="str">
        <f t="shared" si="185"/>
        <v>Wednesday</v>
      </c>
      <c r="D723" s="152" t="s">
        <v>186</v>
      </c>
      <c r="E723" s="153">
        <v>50</v>
      </c>
      <c r="F723" s="152" t="str">
        <f>VLOOKUP(G723,'Expenses Reference'!$A$1:$B$23,2, FALSE)</f>
        <v>Needs</v>
      </c>
      <c r="G723" s="152" t="s">
        <v>35</v>
      </c>
      <c r="H723" s="154"/>
      <c r="I723" s="154"/>
    </row>
    <row r="724" spans="1:9" s="152" customFormat="1" x14ac:dyDescent="0.3">
      <c r="A724" s="167" t="str">
        <f t="shared" si="184"/>
        <v>2025 02 (Feb)</v>
      </c>
      <c r="B724" s="164">
        <v>45700</v>
      </c>
      <c r="C724" s="163" t="str">
        <f t="shared" si="185"/>
        <v>Wednesday</v>
      </c>
      <c r="D724" s="152" t="s">
        <v>548</v>
      </c>
      <c r="E724" s="153">
        <f>230+315+360</f>
        <v>905</v>
      </c>
      <c r="F724" s="152" t="str">
        <f>VLOOKUP(G724,'Expenses Reference'!$A$1:$B$23,2, FALSE)</f>
        <v>Wants</v>
      </c>
      <c r="G724" s="152" t="s">
        <v>188</v>
      </c>
      <c r="H724" s="154"/>
      <c r="I724" s="154"/>
    </row>
    <row r="725" spans="1:9" s="152" customFormat="1" x14ac:dyDescent="0.3">
      <c r="A725" s="167" t="str">
        <f t="shared" si="184"/>
        <v>2025 02 (Feb)</v>
      </c>
      <c r="B725" s="164">
        <v>45700</v>
      </c>
      <c r="C725" s="163" t="str">
        <f t="shared" si="185"/>
        <v>Wednesday</v>
      </c>
      <c r="D725" s="152" t="s">
        <v>65</v>
      </c>
      <c r="E725" s="153">
        <v>711</v>
      </c>
      <c r="F725" s="152" t="str">
        <f>VLOOKUP(G725,'Expenses Reference'!$A$1:$B$23,2, FALSE)</f>
        <v>Wants</v>
      </c>
      <c r="G725" s="152" t="s">
        <v>81</v>
      </c>
      <c r="H725" s="154"/>
      <c r="I725" s="154"/>
    </row>
    <row r="726" spans="1:9" x14ac:dyDescent="0.3">
      <c r="A726" s="107" t="str">
        <f t="shared" si="184"/>
        <v>2025 02 (Feb)</v>
      </c>
      <c r="B726" s="165">
        <v>45701</v>
      </c>
      <c r="C726" s="162" t="str">
        <f t="shared" si="185"/>
        <v>Thursday</v>
      </c>
      <c r="D726" t="s">
        <v>344</v>
      </c>
      <c r="E726" s="2">
        <v>29</v>
      </c>
      <c r="F726" t="str">
        <f>VLOOKUP(G726,'Expenses Reference'!$A$1:$B$23,2, FALSE)</f>
        <v>Wants</v>
      </c>
      <c r="G726" t="s">
        <v>54</v>
      </c>
    </row>
    <row r="727" spans="1:9" x14ac:dyDescent="0.3">
      <c r="A727" s="107" t="str">
        <f t="shared" si="184"/>
        <v>2025 02 (Feb)</v>
      </c>
      <c r="B727" s="165">
        <v>45701</v>
      </c>
      <c r="C727" s="162" t="str">
        <f t="shared" si="185"/>
        <v>Thursday</v>
      </c>
      <c r="D727" t="s">
        <v>460</v>
      </c>
      <c r="E727" s="2">
        <v>40</v>
      </c>
      <c r="F727" t="str">
        <f>VLOOKUP(G727,'Expenses Reference'!$A$1:$B$23,2, FALSE)</f>
        <v>Needs</v>
      </c>
      <c r="G727" t="s">
        <v>213</v>
      </c>
    </row>
    <row r="728" spans="1:9" x14ac:dyDescent="0.3">
      <c r="A728" s="107" t="str">
        <f t="shared" ref="A728:A732" si="186">_xlfn.CONCAT(YEAR(B728), " ", CHOOSE(MONTH(B728), "01 (Jan)", "02 (Feb)", "03 (Mar)", "04 (Apr)", "05 (May)", "06 (Jun)", "07 (Jul)", "08 (Aug)", "09 (Sep)", "10 (Oct)", "11 (Nov)", "12 (Dec)"))</f>
        <v>2025 02 (Feb)</v>
      </c>
      <c r="B728" s="165">
        <v>45701</v>
      </c>
      <c r="C728" s="162" t="str">
        <f t="shared" ref="C728:C732" si="187">CHOOSE(WEEKDAY(B728),"Sunday","Monday","Tuesday","Wednesday","Thursday","Friday","Saturday")</f>
        <v>Thursday</v>
      </c>
      <c r="D728" t="s">
        <v>67</v>
      </c>
      <c r="E728" s="2">
        <v>195</v>
      </c>
      <c r="F728" t="str">
        <f>VLOOKUP(G728,'Expenses Reference'!$A$1:$B$23,2, FALSE)</f>
        <v>Needs</v>
      </c>
      <c r="G728" t="s">
        <v>35</v>
      </c>
    </row>
    <row r="729" spans="1:9" x14ac:dyDescent="0.3">
      <c r="A729" s="107" t="str">
        <f t="shared" si="186"/>
        <v>2025 02 (Feb)</v>
      </c>
      <c r="B729" s="165">
        <v>45701</v>
      </c>
      <c r="C729" s="162" t="str">
        <f t="shared" si="187"/>
        <v>Thursday</v>
      </c>
      <c r="D729" t="s">
        <v>186</v>
      </c>
      <c r="E729" s="2">
        <v>70</v>
      </c>
      <c r="F729" t="str">
        <f>VLOOKUP(G729,'Expenses Reference'!$A$1:$B$23,2, FALSE)</f>
        <v>Needs</v>
      </c>
      <c r="G729" t="s">
        <v>35</v>
      </c>
    </row>
    <row r="730" spans="1:9" x14ac:dyDescent="0.3">
      <c r="A730" s="107" t="str">
        <f t="shared" si="186"/>
        <v>2025 02 (Feb)</v>
      </c>
      <c r="B730" s="165">
        <v>45701</v>
      </c>
      <c r="C730" s="162" t="str">
        <f t="shared" si="187"/>
        <v>Thursday</v>
      </c>
      <c r="D730" t="s">
        <v>67</v>
      </c>
      <c r="E730" s="2">
        <v>110</v>
      </c>
      <c r="F730" t="str">
        <f>VLOOKUP(G730,'Expenses Reference'!$A$1:$B$23,2, FALSE)</f>
        <v>Needs</v>
      </c>
      <c r="G730" t="s">
        <v>35</v>
      </c>
    </row>
    <row r="731" spans="1:9" s="152" customFormat="1" x14ac:dyDescent="0.3">
      <c r="A731" s="167" t="str">
        <f t="shared" si="186"/>
        <v>2025 02 (Feb)</v>
      </c>
      <c r="B731" s="164">
        <v>45702</v>
      </c>
      <c r="C731" s="163" t="str">
        <f t="shared" si="187"/>
        <v>Friday</v>
      </c>
      <c r="D731" s="152" t="s">
        <v>281</v>
      </c>
      <c r="E731" s="153">
        <v>50</v>
      </c>
      <c r="F731" s="152" t="str">
        <f>VLOOKUP(G731,'Expenses Reference'!$A$1:$B$23,2, FALSE)</f>
        <v>Needs</v>
      </c>
      <c r="G731" s="152" t="s">
        <v>213</v>
      </c>
      <c r="H731" s="154"/>
      <c r="I731" s="154"/>
    </row>
    <row r="732" spans="1:9" x14ac:dyDescent="0.3">
      <c r="A732" s="107" t="str">
        <f t="shared" si="186"/>
        <v>2025 02 (Feb)</v>
      </c>
      <c r="B732" s="165">
        <v>45703</v>
      </c>
      <c r="C732" s="162" t="str">
        <f t="shared" si="187"/>
        <v>Saturday</v>
      </c>
      <c r="D732" t="s">
        <v>65</v>
      </c>
      <c r="E732" s="2">
        <v>464</v>
      </c>
      <c r="F732" t="str">
        <f>VLOOKUP(G732,'Expenses Reference'!$A$1:$B$23,2, FALSE)</f>
        <v>Wants</v>
      </c>
      <c r="G732" t="s">
        <v>81</v>
      </c>
    </row>
    <row r="733" spans="1:9" s="152" customFormat="1" x14ac:dyDescent="0.3">
      <c r="A733" s="167" t="str">
        <f t="shared" ref="A733" si="188">_xlfn.CONCAT(YEAR(B733), " ", CHOOSE(MONTH(B733), "01 (Jan)", "02 (Feb)", "03 (Mar)", "04 (Apr)", "05 (May)", "06 (Jun)", "07 (Jul)", "08 (Aug)", "09 (Sep)", "10 (Oct)", "11 (Nov)", "12 (Dec)"))</f>
        <v>2025 02 (Feb)</v>
      </c>
      <c r="B733" s="164">
        <v>45704</v>
      </c>
      <c r="C733" s="163" t="str">
        <f t="shared" ref="C733" si="189">CHOOSE(WEEKDAY(B733),"Sunday","Monday","Tuesday","Wednesday","Thursday","Friday","Saturday")</f>
        <v>Sunday</v>
      </c>
      <c r="D733" s="152" t="s">
        <v>549</v>
      </c>
      <c r="E733" s="153">
        <v>753</v>
      </c>
      <c r="F733" s="152" t="str">
        <f>VLOOKUP(G733,'Expenses Reference'!$A$1:$B$23,2, FALSE)</f>
        <v>Needs</v>
      </c>
      <c r="G733" s="152" t="s">
        <v>34</v>
      </c>
      <c r="H733" s="154"/>
      <c r="I733" s="154"/>
    </row>
    <row r="734" spans="1:9" s="152" customFormat="1" x14ac:dyDescent="0.3">
      <c r="A734" s="167" t="str">
        <f t="shared" ref="A734:A735" si="190">_xlfn.CONCAT(YEAR(B734), " ", CHOOSE(MONTH(B734), "01 (Jan)", "02 (Feb)", "03 (Mar)", "04 (Apr)", "05 (May)", "06 (Jun)", "07 (Jul)", "08 (Aug)", "09 (Sep)", "10 (Oct)", "11 (Nov)", "12 (Dec)"))</f>
        <v>2025 02 (Feb)</v>
      </c>
      <c r="B734" s="164">
        <v>45704</v>
      </c>
      <c r="C734" s="163" t="str">
        <f t="shared" ref="C734:C735" si="191">CHOOSE(WEEKDAY(B734),"Sunday","Monday","Tuesday","Wednesday","Thursday","Friday","Saturday")</f>
        <v>Sunday</v>
      </c>
      <c r="D734" s="152" t="s">
        <v>550</v>
      </c>
      <c r="E734" s="153">
        <v>45</v>
      </c>
      <c r="F734" s="152" t="str">
        <f>VLOOKUP(G734,'Expenses Reference'!$A$1:$B$23,2, FALSE)</f>
        <v>Wants</v>
      </c>
      <c r="G734" s="152" t="s">
        <v>84</v>
      </c>
      <c r="H734" s="154" t="s">
        <v>501</v>
      </c>
      <c r="I734" s="154"/>
    </row>
    <row r="735" spans="1:9" s="152" customFormat="1" x14ac:dyDescent="0.3">
      <c r="A735" s="167" t="str">
        <f t="shared" si="190"/>
        <v>2025 02 (Feb)</v>
      </c>
      <c r="B735" s="164">
        <v>45704</v>
      </c>
      <c r="C735" s="163" t="str">
        <f t="shared" si="191"/>
        <v>Sunday</v>
      </c>
      <c r="D735" s="152" t="s">
        <v>114</v>
      </c>
      <c r="E735" s="153">
        <v>431</v>
      </c>
      <c r="F735" s="152" t="str">
        <f>VLOOKUP(G735,'Expenses Reference'!$A$1:$B$23,2, FALSE)</f>
        <v>Wants</v>
      </c>
      <c r="G735" s="152" t="s">
        <v>81</v>
      </c>
      <c r="H735" s="154"/>
      <c r="I735" s="154"/>
    </row>
    <row r="736" spans="1:9" s="152" customFormat="1" x14ac:dyDescent="0.3">
      <c r="A736" s="167" t="str">
        <f t="shared" ref="A736:A737" si="192">_xlfn.CONCAT(YEAR(B736), " ", CHOOSE(MONTH(B736), "01 (Jan)", "02 (Feb)", "03 (Mar)", "04 (Apr)", "05 (May)", "06 (Jun)", "07 (Jul)", "08 (Aug)", "09 (Sep)", "10 (Oct)", "11 (Nov)", "12 (Dec)"))</f>
        <v>2025 02 (Feb)</v>
      </c>
      <c r="B736" s="164">
        <v>45704</v>
      </c>
      <c r="C736" s="163" t="str">
        <f t="shared" ref="C736:C737" si="193">CHOOSE(WEEKDAY(B736),"Sunday","Monday","Tuesday","Wednesday","Thursday","Friday","Saturday")</f>
        <v>Sunday</v>
      </c>
      <c r="D736" s="152" t="s">
        <v>551</v>
      </c>
      <c r="E736" s="153">
        <v>45</v>
      </c>
      <c r="F736" s="152" t="str">
        <f>VLOOKUP(G736,'Expenses Reference'!$A$1:$B$23,2, FALSE)</f>
        <v>Wants</v>
      </c>
      <c r="G736" s="152" t="s">
        <v>84</v>
      </c>
      <c r="H736" s="154" t="s">
        <v>501</v>
      </c>
      <c r="I736" s="154"/>
    </row>
    <row r="737" spans="1:9" x14ac:dyDescent="0.3">
      <c r="A737" s="107" t="str">
        <f t="shared" si="192"/>
        <v>2025 02 (Feb)</v>
      </c>
      <c r="B737" s="165">
        <v>45705</v>
      </c>
      <c r="C737" s="162" t="str">
        <f t="shared" si="193"/>
        <v>Monday</v>
      </c>
      <c r="D737" t="s">
        <v>460</v>
      </c>
      <c r="E737" s="2">
        <v>44</v>
      </c>
      <c r="F737" t="str">
        <f>VLOOKUP(G737,'Expenses Reference'!$A$1:$B$23,2, FALSE)</f>
        <v>Needs</v>
      </c>
      <c r="G737" t="s">
        <v>213</v>
      </c>
    </row>
    <row r="738" spans="1:9" s="152" customFormat="1" x14ac:dyDescent="0.3">
      <c r="A738" s="167" t="str">
        <f t="shared" ref="A738:A750" si="194">_xlfn.CONCAT(YEAR(B738), " ", CHOOSE(MONTH(B738), "01 (Jan)", "02 (Feb)", "03 (Mar)", "04 (Apr)", "05 (May)", "06 (Jun)", "07 (Jul)", "08 (Aug)", "09 (Sep)", "10 (Oct)", "11 (Nov)", "12 (Dec)"))</f>
        <v>2025 02 (Feb)</v>
      </c>
      <c r="B738" s="164">
        <v>45706</v>
      </c>
      <c r="C738" s="163" t="str">
        <f t="shared" ref="C738:C750" si="195">CHOOSE(WEEKDAY(B738),"Sunday","Monday","Tuesday","Wednesday","Thursday","Friday","Saturday")</f>
        <v>Tuesday</v>
      </c>
      <c r="D738" s="152" t="s">
        <v>460</v>
      </c>
      <c r="E738" s="153">
        <v>45</v>
      </c>
      <c r="F738" s="152" t="str">
        <f>VLOOKUP(G738,'Expenses Reference'!$A$1:$B$23,2, FALSE)</f>
        <v>Needs</v>
      </c>
      <c r="G738" s="152" t="s">
        <v>213</v>
      </c>
      <c r="H738" s="154"/>
      <c r="I738" s="154"/>
    </row>
    <row r="739" spans="1:9" s="152" customFormat="1" x14ac:dyDescent="0.3">
      <c r="A739" s="167" t="str">
        <f t="shared" si="194"/>
        <v>2025 02 (Feb)</v>
      </c>
      <c r="B739" s="164">
        <v>45706</v>
      </c>
      <c r="C739" s="163" t="str">
        <f t="shared" si="195"/>
        <v>Tuesday</v>
      </c>
      <c r="D739" s="152" t="s">
        <v>67</v>
      </c>
      <c r="E739" s="153">
        <v>77</v>
      </c>
      <c r="F739" s="152" t="str">
        <f>VLOOKUP(G739,'Expenses Reference'!$A$1:$B$23,2, FALSE)</f>
        <v>Needs</v>
      </c>
      <c r="G739" s="152" t="s">
        <v>35</v>
      </c>
      <c r="H739" s="154"/>
      <c r="I739" s="154"/>
    </row>
    <row r="740" spans="1:9" s="152" customFormat="1" x14ac:dyDescent="0.3">
      <c r="A740" s="167" t="str">
        <f t="shared" si="194"/>
        <v>2025 02 (Feb)</v>
      </c>
      <c r="B740" s="164">
        <v>45706</v>
      </c>
      <c r="C740" s="163" t="str">
        <f t="shared" si="195"/>
        <v>Tuesday</v>
      </c>
      <c r="D740" s="152" t="s">
        <v>66</v>
      </c>
      <c r="E740" s="153">
        <v>700</v>
      </c>
      <c r="F740" s="152" t="str">
        <f>VLOOKUP(G740,'Expenses Reference'!$A$1:$B$23,2, FALSE)</f>
        <v>Wants</v>
      </c>
      <c r="G740" s="152" t="s">
        <v>81</v>
      </c>
      <c r="H740" s="154"/>
      <c r="I740" s="154"/>
    </row>
    <row r="741" spans="1:9" x14ac:dyDescent="0.3">
      <c r="A741" s="107" t="str">
        <f t="shared" si="194"/>
        <v>2025 02 (Feb)</v>
      </c>
      <c r="B741" s="165">
        <v>45707</v>
      </c>
      <c r="C741" s="162" t="str">
        <f t="shared" si="195"/>
        <v>Wednesday</v>
      </c>
      <c r="D741" t="s">
        <v>460</v>
      </c>
      <c r="E741" s="2">
        <v>30</v>
      </c>
      <c r="F741" t="str">
        <f>VLOOKUP(G741,'Expenses Reference'!$A$1:$B$23,2, FALSE)</f>
        <v>Needs</v>
      </c>
      <c r="G741" t="s">
        <v>213</v>
      </c>
    </row>
    <row r="742" spans="1:9" x14ac:dyDescent="0.3">
      <c r="A742" s="107" t="str">
        <f t="shared" si="194"/>
        <v>2025 02 (Feb)</v>
      </c>
      <c r="B742" s="165">
        <v>45707</v>
      </c>
      <c r="C742" s="162" t="str">
        <f t="shared" si="195"/>
        <v>Wednesday</v>
      </c>
      <c r="D742" t="s">
        <v>186</v>
      </c>
      <c r="E742" s="2">
        <v>30</v>
      </c>
      <c r="F742" t="str">
        <f>VLOOKUP(G742,'Expenses Reference'!$A$1:$B$23,2, FALSE)</f>
        <v>Needs</v>
      </c>
      <c r="G742" t="s">
        <v>35</v>
      </c>
    </row>
    <row r="743" spans="1:9" s="152" customFormat="1" x14ac:dyDescent="0.3">
      <c r="A743" s="167" t="str">
        <f t="shared" si="194"/>
        <v>2025 02 (Feb)</v>
      </c>
      <c r="B743" s="164">
        <v>45708</v>
      </c>
      <c r="C743" s="163" t="str">
        <f t="shared" si="195"/>
        <v>Thursday</v>
      </c>
      <c r="D743" s="152" t="s">
        <v>135</v>
      </c>
      <c r="E743" s="153">
        <v>60</v>
      </c>
      <c r="F743" s="152" t="str">
        <f>VLOOKUP(G743,'Expenses Reference'!$A$1:$B$23,2, FALSE)</f>
        <v>Wants</v>
      </c>
      <c r="G743" s="152" t="s">
        <v>288</v>
      </c>
      <c r="H743" s="154"/>
      <c r="I743" s="154"/>
    </row>
    <row r="744" spans="1:9" s="152" customFormat="1" x14ac:dyDescent="0.3">
      <c r="A744" s="167" t="str">
        <f t="shared" si="194"/>
        <v>2025 02 (Feb)</v>
      </c>
      <c r="B744" s="164">
        <v>45708</v>
      </c>
      <c r="C744" s="163" t="str">
        <f t="shared" si="195"/>
        <v>Thursday</v>
      </c>
      <c r="D744" s="152" t="s">
        <v>460</v>
      </c>
      <c r="E744" s="153">
        <v>30</v>
      </c>
      <c r="F744" s="152" t="str">
        <f>VLOOKUP(G744,'Expenses Reference'!$A$1:$B$23,2, FALSE)</f>
        <v>Needs</v>
      </c>
      <c r="G744" s="152" t="s">
        <v>213</v>
      </c>
      <c r="H744" s="154"/>
      <c r="I744" s="154"/>
    </row>
    <row r="745" spans="1:9" s="152" customFormat="1" x14ac:dyDescent="0.3">
      <c r="A745" s="167" t="str">
        <f t="shared" si="194"/>
        <v>2025 02 (Feb)</v>
      </c>
      <c r="B745" s="164">
        <v>45708</v>
      </c>
      <c r="C745" s="163" t="str">
        <f t="shared" si="195"/>
        <v>Thursday</v>
      </c>
      <c r="D745" s="152" t="s">
        <v>552</v>
      </c>
      <c r="E745" s="153">
        <v>1370</v>
      </c>
      <c r="F745" s="152" t="str">
        <f>VLOOKUP(G745,'Expenses Reference'!$A$1:$B$23,2, FALSE)</f>
        <v>Wants</v>
      </c>
      <c r="G745" s="152" t="s">
        <v>188</v>
      </c>
      <c r="H745" s="154"/>
      <c r="I745" s="154"/>
    </row>
    <row r="746" spans="1:9" x14ac:dyDescent="0.3">
      <c r="A746" s="107" t="str">
        <f t="shared" si="194"/>
        <v>2025 02 (Feb)</v>
      </c>
      <c r="B746" s="165">
        <v>45709</v>
      </c>
      <c r="C746" s="162" t="str">
        <f t="shared" si="195"/>
        <v>Friday</v>
      </c>
      <c r="D746" t="s">
        <v>66</v>
      </c>
      <c r="E746" s="2">
        <v>185</v>
      </c>
      <c r="F746" t="str">
        <f>VLOOKUP(G746,'Expenses Reference'!$A$1:$B$23,2, FALSE)</f>
        <v>Wants</v>
      </c>
      <c r="G746" t="s">
        <v>81</v>
      </c>
    </row>
    <row r="747" spans="1:9" x14ac:dyDescent="0.3">
      <c r="A747" s="107" t="str">
        <f t="shared" si="194"/>
        <v>2025 02 (Feb)</v>
      </c>
      <c r="B747" s="165">
        <v>45709</v>
      </c>
      <c r="C747" s="162" t="str">
        <f t="shared" si="195"/>
        <v>Friday</v>
      </c>
      <c r="D747" t="s">
        <v>460</v>
      </c>
      <c r="E747" s="2">
        <v>55</v>
      </c>
      <c r="F747" t="str">
        <f>VLOOKUP(G747,'Expenses Reference'!$A$1:$B$23,2, FALSE)</f>
        <v>Needs</v>
      </c>
      <c r="G747" t="s">
        <v>213</v>
      </c>
    </row>
    <row r="748" spans="1:9" x14ac:dyDescent="0.3">
      <c r="A748" s="107" t="str">
        <f t="shared" si="194"/>
        <v>2025 02 (Feb)</v>
      </c>
      <c r="B748" s="165">
        <v>45709</v>
      </c>
      <c r="C748" s="162" t="str">
        <f t="shared" si="195"/>
        <v>Friday</v>
      </c>
      <c r="D748" t="s">
        <v>260</v>
      </c>
      <c r="E748" s="2">
        <v>199</v>
      </c>
      <c r="F748" t="str">
        <f>VLOOKUP(G748,'Expenses Reference'!$A$1:$B$23,2, FALSE)</f>
        <v>Wants</v>
      </c>
      <c r="G748" t="s">
        <v>54</v>
      </c>
    </row>
    <row r="749" spans="1:9" x14ac:dyDescent="0.3">
      <c r="A749" s="107" t="str">
        <f t="shared" si="194"/>
        <v>2025 02 (Feb)</v>
      </c>
      <c r="B749" s="165">
        <v>45709</v>
      </c>
      <c r="C749" s="162" t="str">
        <f t="shared" si="195"/>
        <v>Friday</v>
      </c>
      <c r="D749" t="s">
        <v>553</v>
      </c>
      <c r="E749" s="2">
        <v>210</v>
      </c>
      <c r="F749" t="str">
        <f>VLOOKUP(G749,'Expenses Reference'!$A$1:$B$23,2, FALSE)</f>
        <v>Wants</v>
      </c>
      <c r="G749" t="s">
        <v>81</v>
      </c>
    </row>
    <row r="750" spans="1:9" x14ac:dyDescent="0.3">
      <c r="A750" s="107" t="str">
        <f t="shared" si="194"/>
        <v>2025 02 (Feb)</v>
      </c>
      <c r="B750" s="165">
        <v>45709</v>
      </c>
      <c r="C750" s="162" t="str">
        <f t="shared" si="195"/>
        <v>Friday</v>
      </c>
      <c r="D750" t="s">
        <v>511</v>
      </c>
      <c r="E750" s="2">
        <v>180</v>
      </c>
      <c r="F750" t="str">
        <f>VLOOKUP(G750,'Expenses Reference'!$A$1:$B$23,2, FALSE)</f>
        <v>Wants</v>
      </c>
      <c r="G750" t="s">
        <v>81</v>
      </c>
    </row>
    <row r="751" spans="1:9" x14ac:dyDescent="0.3">
      <c r="A751" s="107" t="str">
        <f t="shared" ref="A751:A755" si="196">_xlfn.CONCAT(YEAR(B751), " ", CHOOSE(MONTH(B751), "01 (Jan)", "02 (Feb)", "03 (Mar)", "04 (Apr)", "05 (May)", "06 (Jun)", "07 (Jul)", "08 (Aug)", "09 (Sep)", "10 (Oct)", "11 (Nov)", "12 (Dec)"))</f>
        <v>2025 02 (Feb)</v>
      </c>
      <c r="B751" s="165">
        <v>45709</v>
      </c>
      <c r="C751" s="162" t="str">
        <f t="shared" ref="C751:C755" si="197">CHOOSE(WEEKDAY(B751),"Sunday","Monday","Tuesday","Wednesday","Thursday","Friday","Saturday")</f>
        <v>Friday</v>
      </c>
      <c r="D751" t="s">
        <v>135</v>
      </c>
      <c r="E751" s="2">
        <v>30</v>
      </c>
      <c r="F751" t="str">
        <f>VLOOKUP(G751,'Expenses Reference'!$A$1:$B$23,2, FALSE)</f>
        <v>Wants</v>
      </c>
      <c r="G751" t="s">
        <v>83</v>
      </c>
    </row>
    <row r="752" spans="1:9" x14ac:dyDescent="0.3">
      <c r="A752" s="107" t="str">
        <f t="shared" si="196"/>
        <v>2025 02 (Feb)</v>
      </c>
      <c r="B752" s="165">
        <v>45709</v>
      </c>
      <c r="C752" s="162" t="str">
        <f t="shared" si="197"/>
        <v>Friday</v>
      </c>
      <c r="D752" t="s">
        <v>207</v>
      </c>
      <c r="E752" s="2">
        <v>31</v>
      </c>
      <c r="F752" t="str">
        <f>VLOOKUP(G752,'Expenses Reference'!$A$1:$B$23,2, FALSE)</f>
        <v>Needs</v>
      </c>
      <c r="G752" t="s">
        <v>213</v>
      </c>
    </row>
    <row r="753" spans="1:9" x14ac:dyDescent="0.3">
      <c r="A753" s="107" t="str">
        <f t="shared" si="196"/>
        <v>2025 02 (Feb)</v>
      </c>
      <c r="B753" s="165">
        <v>45709</v>
      </c>
      <c r="C753" s="162" t="str">
        <f t="shared" si="197"/>
        <v>Friday</v>
      </c>
      <c r="D753" t="s">
        <v>65</v>
      </c>
      <c r="E753" s="2">
        <v>524</v>
      </c>
      <c r="F753" t="str">
        <f>VLOOKUP(G753,'Expenses Reference'!$A$1:$B$23,2, FALSE)</f>
        <v>Wants</v>
      </c>
      <c r="G753" t="s">
        <v>81</v>
      </c>
    </row>
    <row r="754" spans="1:9" s="152" customFormat="1" x14ac:dyDescent="0.3">
      <c r="A754" s="167" t="str">
        <f t="shared" si="196"/>
        <v>2025 02 (Feb)</v>
      </c>
      <c r="B754" s="164">
        <v>45711</v>
      </c>
      <c r="C754" s="163" t="str">
        <f t="shared" si="197"/>
        <v>Sunday</v>
      </c>
      <c r="D754" s="152" t="s">
        <v>65</v>
      </c>
      <c r="E754" s="153">
        <v>566</v>
      </c>
      <c r="F754" s="152" t="str">
        <f>VLOOKUP(G754,'Expenses Reference'!$A$1:$B$23,2, FALSE)</f>
        <v>Wants</v>
      </c>
      <c r="G754" s="152" t="s">
        <v>81</v>
      </c>
      <c r="H754" s="154"/>
      <c r="I754" s="154"/>
    </row>
    <row r="755" spans="1:9" x14ac:dyDescent="0.3">
      <c r="A755" s="107" t="str">
        <f t="shared" si="196"/>
        <v>2025 02 (Feb)</v>
      </c>
      <c r="B755" s="165">
        <v>45712</v>
      </c>
      <c r="C755" s="162" t="str">
        <f t="shared" si="197"/>
        <v>Monday</v>
      </c>
      <c r="D755" t="s">
        <v>66</v>
      </c>
      <c r="E755" s="2">
        <v>204</v>
      </c>
      <c r="F755" t="str">
        <f>VLOOKUP(G755,'Expenses Reference'!$A$1:$B$23,2, FALSE)</f>
        <v>Wants</v>
      </c>
      <c r="G755" t="s">
        <v>81</v>
      </c>
    </row>
    <row r="756" spans="1:9" x14ac:dyDescent="0.3">
      <c r="A756" s="107" t="str">
        <f t="shared" ref="A756:A819" si="198">_xlfn.CONCAT(YEAR(B756), " ", CHOOSE(MONTH(B756), "01 (Jan)", "02 (Feb)", "03 (Mar)", "04 (Apr)", "05 (May)", "06 (Jun)", "07 (Jul)", "08 (Aug)", "09 (Sep)", "10 (Oct)", "11 (Nov)", "12 (Dec)"))</f>
        <v>2025 02 (Feb)</v>
      </c>
      <c r="B756" s="165">
        <v>45712</v>
      </c>
      <c r="C756" s="162" t="str">
        <f t="shared" ref="C756:C819" si="199">CHOOSE(WEEKDAY(B756),"Sunday","Monday","Tuesday","Wednesday","Thursday","Friday","Saturday")</f>
        <v>Monday</v>
      </c>
      <c r="D756" t="s">
        <v>460</v>
      </c>
      <c r="E756" s="2">
        <v>30</v>
      </c>
      <c r="F756" t="str">
        <f>VLOOKUP(G756,'Expenses Reference'!$A$1:$B$23,2, FALSE)</f>
        <v>Needs</v>
      </c>
      <c r="G756" t="s">
        <v>213</v>
      </c>
    </row>
    <row r="757" spans="1:9" x14ac:dyDescent="0.3">
      <c r="A757" s="107" t="str">
        <f t="shared" si="198"/>
        <v>2025 02 (Feb)</v>
      </c>
      <c r="B757" s="165">
        <v>45712</v>
      </c>
      <c r="C757" s="162" t="str">
        <f t="shared" si="199"/>
        <v>Monday</v>
      </c>
      <c r="D757" t="s">
        <v>554</v>
      </c>
      <c r="E757" s="2">
        <v>42</v>
      </c>
      <c r="F757" t="str">
        <f>VLOOKUP(G757,'Expenses Reference'!$A$1:$B$23,2, FALSE)</f>
        <v>Needs</v>
      </c>
      <c r="G757" t="s">
        <v>35</v>
      </c>
    </row>
    <row r="758" spans="1:9" x14ac:dyDescent="0.3">
      <c r="A758" s="107" t="str">
        <f t="shared" si="198"/>
        <v>2025 02 (Feb)</v>
      </c>
      <c r="B758" s="165">
        <v>45712</v>
      </c>
      <c r="C758" s="162" t="str">
        <f t="shared" si="199"/>
        <v>Monday</v>
      </c>
      <c r="D758" t="s">
        <v>321</v>
      </c>
      <c r="E758" s="2">
        <v>35</v>
      </c>
      <c r="F758" t="str">
        <f>VLOOKUP(G758,'Expenses Reference'!$A$1:$B$23,2, FALSE)</f>
        <v>Needs</v>
      </c>
      <c r="G758" t="s">
        <v>213</v>
      </c>
    </row>
    <row r="759" spans="1:9" x14ac:dyDescent="0.3">
      <c r="A759" s="107" t="str">
        <f>_xlfn.CONCAT(YEAR(B759), " ", CHOOSE(MONTH(B759), "01 (Jan)", "02 (Feb)", "03 (Mar)", "04 (Apr)", "05 (May)", "06 (Jun)", "07 (Jul)", "08 (Aug)", "09 (Sep)", "10 (Oct)", "11 (Nov)", "12 (Dec)"))</f>
        <v>2025 02 (Feb)</v>
      </c>
      <c r="B759" s="165">
        <v>45713</v>
      </c>
      <c r="C759" s="162" t="str">
        <f>CHOOSE(WEEKDAY(B759),"Sunday","Monday","Tuesday","Wednesday","Thursday","Friday","Saturday")</f>
        <v>Tuesday</v>
      </c>
      <c r="D759" t="s">
        <v>281</v>
      </c>
      <c r="E759" s="2">
        <v>55</v>
      </c>
      <c r="F759" t="str">
        <f>VLOOKUP(G759,'Expenses Reference'!$A$1:$B$23,2, FALSE)</f>
        <v>Needs</v>
      </c>
      <c r="G759" t="s">
        <v>213</v>
      </c>
    </row>
    <row r="760" spans="1:9" x14ac:dyDescent="0.3">
      <c r="A760" s="107" t="str">
        <f>_xlfn.CONCAT(YEAR(B760), " ", CHOOSE(MONTH(B760), "01 (Jan)", "02 (Feb)", "03 (Mar)", "04 (Apr)", "05 (May)", "06 (Jun)", "07 (Jul)", "08 (Aug)", "09 (Sep)", "10 (Oct)", "11 (Nov)", "12 (Dec)"))</f>
        <v>2025 02 (Feb)</v>
      </c>
      <c r="B760" s="165">
        <v>45713</v>
      </c>
      <c r="C760" s="162" t="str">
        <f>CHOOSE(WEEKDAY(B760),"Sunday","Monday","Tuesday","Wednesday","Thursday","Friday","Saturday")</f>
        <v>Tuesday</v>
      </c>
      <c r="D760" t="s">
        <v>555</v>
      </c>
      <c r="E760" s="2">
        <v>470</v>
      </c>
      <c r="F760" t="str">
        <f>VLOOKUP(G760,'Expenses Reference'!$A$1:$B$23,2, FALSE)</f>
        <v>Wants</v>
      </c>
      <c r="G760" t="s">
        <v>83</v>
      </c>
    </row>
    <row r="761" spans="1:9" x14ac:dyDescent="0.3">
      <c r="A761" s="107" t="str">
        <f t="shared" si="198"/>
        <v>2025 02 (Feb)</v>
      </c>
      <c r="B761" s="165">
        <v>45713</v>
      </c>
      <c r="C761" s="162" t="str">
        <f t="shared" si="199"/>
        <v>Tuesday</v>
      </c>
      <c r="D761" t="s">
        <v>67</v>
      </c>
      <c r="E761" s="2">
        <v>90</v>
      </c>
      <c r="F761" t="str">
        <f>VLOOKUP(G761,'Expenses Reference'!$A$1:$B$23,2, FALSE)</f>
        <v>Needs</v>
      </c>
      <c r="G761" t="s">
        <v>35</v>
      </c>
    </row>
    <row r="762" spans="1:9" x14ac:dyDescent="0.3">
      <c r="A762" s="107" t="str">
        <f t="shared" si="198"/>
        <v>2025 02 (Feb)</v>
      </c>
      <c r="B762" s="165">
        <v>45713</v>
      </c>
      <c r="C762" s="162" t="str">
        <f t="shared" si="199"/>
        <v>Tuesday</v>
      </c>
      <c r="D762" t="s">
        <v>554</v>
      </c>
      <c r="E762" s="2">
        <v>30</v>
      </c>
      <c r="F762" t="str">
        <f>VLOOKUP(G762,'Expenses Reference'!$A$1:$B$23,2, FALSE)</f>
        <v>Needs</v>
      </c>
      <c r="G762" t="s">
        <v>35</v>
      </c>
    </row>
    <row r="763" spans="1:9" x14ac:dyDescent="0.3">
      <c r="A763" s="107" t="str">
        <f t="shared" si="198"/>
        <v>2025 02 (Feb)</v>
      </c>
      <c r="B763" s="165">
        <v>45713</v>
      </c>
      <c r="C763" s="162" t="str">
        <f t="shared" si="199"/>
        <v>Tuesday</v>
      </c>
      <c r="D763" t="s">
        <v>321</v>
      </c>
      <c r="E763" s="2">
        <v>30</v>
      </c>
      <c r="F763" t="str">
        <f>VLOOKUP(G763,'Expenses Reference'!$A$1:$B$23,2, FALSE)</f>
        <v>Needs</v>
      </c>
      <c r="G763" t="s">
        <v>213</v>
      </c>
    </row>
    <row r="764" spans="1:9" x14ac:dyDescent="0.3">
      <c r="A764" s="107" t="str">
        <f t="shared" si="198"/>
        <v>2025 02 (Feb)</v>
      </c>
      <c r="B764" s="165">
        <v>45713</v>
      </c>
      <c r="C764" s="162" t="str">
        <f t="shared" si="199"/>
        <v>Tuesday</v>
      </c>
      <c r="D764" t="s">
        <v>546</v>
      </c>
      <c r="E764" s="2">
        <v>465</v>
      </c>
      <c r="F764" t="str">
        <f>VLOOKUP(G764,'Expenses Reference'!$A$1:$B$23,2, FALSE)</f>
        <v>Wants</v>
      </c>
      <c r="G764" t="s">
        <v>81</v>
      </c>
    </row>
    <row r="765" spans="1:9" x14ac:dyDescent="0.3">
      <c r="A765" s="107" t="str">
        <f t="shared" si="198"/>
        <v>2025 02 (Feb)</v>
      </c>
      <c r="B765" s="165">
        <v>45714</v>
      </c>
      <c r="C765" s="162" t="str">
        <f t="shared" si="199"/>
        <v>Wednesday</v>
      </c>
      <c r="D765" t="s">
        <v>214</v>
      </c>
      <c r="E765" s="2">
        <v>248</v>
      </c>
      <c r="F765" t="str">
        <f>VLOOKUP(G765,'Expenses Reference'!$A$1:$B$23,2, FALSE)</f>
        <v>Wants</v>
      </c>
      <c r="G765" t="s">
        <v>81</v>
      </c>
    </row>
    <row r="766" spans="1:9" x14ac:dyDescent="0.3">
      <c r="A766" s="107" t="str">
        <f t="shared" si="198"/>
        <v>2025 02 (Feb)</v>
      </c>
      <c r="B766" s="165">
        <v>45714</v>
      </c>
      <c r="C766" s="162" t="str">
        <f t="shared" si="199"/>
        <v>Wednesday</v>
      </c>
      <c r="D766" t="s">
        <v>556</v>
      </c>
      <c r="E766" s="2">
        <f>2028-1400</f>
        <v>628</v>
      </c>
      <c r="F766" t="str">
        <f>VLOOKUP(G766,'Expenses Reference'!$A$1:$B$23,2, FALSE)</f>
        <v>Needs</v>
      </c>
      <c r="G766" t="s">
        <v>82</v>
      </c>
    </row>
    <row r="767" spans="1:9" x14ac:dyDescent="0.3">
      <c r="A767" s="107" t="str">
        <f t="shared" si="198"/>
        <v>2025 02 (Feb)</v>
      </c>
      <c r="B767" s="165">
        <v>45714</v>
      </c>
      <c r="C767" s="162" t="str">
        <f t="shared" si="199"/>
        <v>Wednesday</v>
      </c>
      <c r="D767" t="s">
        <v>557</v>
      </c>
      <c r="E767" s="2">
        <v>1400</v>
      </c>
      <c r="F767" t="str">
        <f>VLOOKUP(G767,'Expenses Reference'!$A$1:$B$23,2, FALSE)</f>
        <v>Wants</v>
      </c>
      <c r="G767" t="s">
        <v>54</v>
      </c>
    </row>
    <row r="768" spans="1:9" x14ac:dyDescent="0.3">
      <c r="A768" s="107" t="str">
        <f t="shared" si="198"/>
        <v>2025 02 (Feb)</v>
      </c>
      <c r="B768" s="165">
        <v>45714</v>
      </c>
      <c r="C768" s="162" t="str">
        <f t="shared" si="199"/>
        <v>Wednesday</v>
      </c>
      <c r="D768" t="s">
        <v>281</v>
      </c>
      <c r="E768" s="2">
        <v>45</v>
      </c>
      <c r="F768" t="str">
        <f>VLOOKUP(G768,'Expenses Reference'!$A$1:$B$23,2, FALSE)</f>
        <v>Needs</v>
      </c>
      <c r="G768" t="s">
        <v>213</v>
      </c>
    </row>
    <row r="769" spans="1:7" x14ac:dyDescent="0.3">
      <c r="A769" s="107" t="str">
        <f t="shared" si="198"/>
        <v>2025 02 (Feb)</v>
      </c>
      <c r="B769" s="165">
        <v>45714</v>
      </c>
      <c r="C769" s="162" t="str">
        <f t="shared" si="199"/>
        <v>Wednesday</v>
      </c>
      <c r="D769" t="s">
        <v>558</v>
      </c>
      <c r="E769" s="2">
        <v>82</v>
      </c>
      <c r="F769" t="str">
        <f>VLOOKUP(G769,'Expenses Reference'!$A$1:$B$23,2, FALSE)</f>
        <v>Wants</v>
      </c>
      <c r="G769" t="s">
        <v>81</v>
      </c>
    </row>
    <row r="770" spans="1:7" x14ac:dyDescent="0.3">
      <c r="A770" s="107" t="str">
        <f t="shared" si="198"/>
        <v>2025 02 (Feb)</v>
      </c>
      <c r="B770" s="165">
        <v>45714</v>
      </c>
      <c r="C770" s="162" t="str">
        <f t="shared" si="199"/>
        <v>Wednesday</v>
      </c>
      <c r="D770" t="s">
        <v>321</v>
      </c>
      <c r="E770" s="2">
        <v>40</v>
      </c>
      <c r="F770" t="str">
        <f>VLOOKUP(G770,'Expenses Reference'!$A$1:$B$23,2, FALSE)</f>
        <v>Needs</v>
      </c>
      <c r="G770" t="s">
        <v>213</v>
      </c>
    </row>
    <row r="771" spans="1:7" x14ac:dyDescent="0.3">
      <c r="A771" s="107" t="str">
        <f t="shared" si="198"/>
        <v>2025 02 (Feb)</v>
      </c>
      <c r="B771" s="165">
        <v>45715</v>
      </c>
      <c r="C771" s="162" t="str">
        <f t="shared" si="199"/>
        <v>Thursday</v>
      </c>
      <c r="D771" t="s">
        <v>457</v>
      </c>
      <c r="E771" s="2">
        <v>20000</v>
      </c>
      <c r="F771" t="str">
        <f>VLOOKUP(G771,'Expenses Reference'!$A$1:$B$23,2, FALSE)</f>
        <v>Investments</v>
      </c>
      <c r="G771" t="s">
        <v>218</v>
      </c>
    </row>
    <row r="772" spans="1:7" x14ac:dyDescent="0.3">
      <c r="A772" s="107" t="str">
        <f t="shared" si="198"/>
        <v>2025 02 (Feb)</v>
      </c>
      <c r="B772" s="165">
        <v>45715</v>
      </c>
      <c r="C772" s="162" t="str">
        <f t="shared" si="199"/>
        <v>Thursday</v>
      </c>
      <c r="D772" t="s">
        <v>546</v>
      </c>
      <c r="E772" s="2">
        <v>1088</v>
      </c>
      <c r="F772" t="str">
        <f>VLOOKUP(G772,'Expenses Reference'!$A$1:$B$23,2, FALSE)</f>
        <v>Wants</v>
      </c>
      <c r="G772" t="s">
        <v>81</v>
      </c>
    </row>
    <row r="773" spans="1:7" x14ac:dyDescent="0.3">
      <c r="A773" s="107" t="str">
        <f t="shared" si="198"/>
        <v>2025 02 (Feb)</v>
      </c>
      <c r="B773" s="165">
        <v>45715</v>
      </c>
      <c r="C773" s="162" t="str">
        <f t="shared" si="199"/>
        <v>Thursday</v>
      </c>
      <c r="D773" t="s">
        <v>214</v>
      </c>
      <c r="E773" s="2">
        <v>435</v>
      </c>
      <c r="F773" t="str">
        <f>VLOOKUP(G773,'Expenses Reference'!$A$1:$B$23,2, FALSE)</f>
        <v>Wants</v>
      </c>
      <c r="G773" t="s">
        <v>81</v>
      </c>
    </row>
    <row r="774" spans="1:7" x14ac:dyDescent="0.3">
      <c r="A774" s="107" t="str">
        <f t="shared" si="198"/>
        <v>2025 02 (Feb)</v>
      </c>
      <c r="B774" s="165">
        <v>45716</v>
      </c>
      <c r="C774" s="162" t="str">
        <f t="shared" si="199"/>
        <v>Friday</v>
      </c>
      <c r="D774" t="s">
        <v>281</v>
      </c>
      <c r="E774" s="2">
        <v>42</v>
      </c>
      <c r="F774" t="str">
        <f>VLOOKUP(G774,'Expenses Reference'!$A$1:$B$23,2, FALSE)</f>
        <v>Needs</v>
      </c>
      <c r="G774" t="s">
        <v>213</v>
      </c>
    </row>
    <row r="775" spans="1:7" x14ac:dyDescent="0.3">
      <c r="A775" s="107" t="str">
        <f t="shared" si="198"/>
        <v>2025 02 (Feb)</v>
      </c>
      <c r="B775" s="165">
        <v>45716</v>
      </c>
      <c r="C775" s="162" t="str">
        <f t="shared" si="199"/>
        <v>Friday</v>
      </c>
      <c r="D775" t="s">
        <v>554</v>
      </c>
      <c r="E775" s="2">
        <v>30</v>
      </c>
      <c r="F775" t="str">
        <f>VLOOKUP(G775,'Expenses Reference'!$A$1:$B$23,2, FALSE)</f>
        <v>Needs</v>
      </c>
      <c r="G775" t="s">
        <v>35</v>
      </c>
    </row>
    <row r="776" spans="1:7" x14ac:dyDescent="0.3">
      <c r="A776" s="107" t="str">
        <f t="shared" si="198"/>
        <v>2025 02 (Feb)</v>
      </c>
      <c r="B776" s="165">
        <v>45716</v>
      </c>
      <c r="C776" s="162" t="str">
        <f t="shared" si="199"/>
        <v>Friday</v>
      </c>
      <c r="D776" t="s">
        <v>559</v>
      </c>
      <c r="E776" s="2">
        <v>119</v>
      </c>
      <c r="F776" t="str">
        <f>VLOOKUP(G776,'Expenses Reference'!$A$1:$B$23,2, FALSE)</f>
        <v>Needs</v>
      </c>
      <c r="G776" t="s">
        <v>35</v>
      </c>
    </row>
    <row r="777" spans="1:7" x14ac:dyDescent="0.3">
      <c r="A777" s="107" t="str">
        <f t="shared" si="198"/>
        <v>2025 02 (Feb)</v>
      </c>
      <c r="B777" s="165">
        <v>45716</v>
      </c>
      <c r="C777" s="162" t="str">
        <f t="shared" si="199"/>
        <v>Friday</v>
      </c>
      <c r="D777" t="s">
        <v>559</v>
      </c>
      <c r="E777" s="2">
        <v>40</v>
      </c>
      <c r="F777" t="str">
        <f>VLOOKUP(G777,'Expenses Reference'!$A$1:$B$23,2, FALSE)</f>
        <v>Needs</v>
      </c>
      <c r="G777" t="s">
        <v>35</v>
      </c>
    </row>
    <row r="778" spans="1:7" x14ac:dyDescent="0.3">
      <c r="A778" s="107" t="str">
        <f t="shared" si="198"/>
        <v>2025 02 (Feb)</v>
      </c>
      <c r="B778" s="165">
        <v>45716</v>
      </c>
      <c r="C778" s="162" t="str">
        <f t="shared" si="199"/>
        <v>Friday</v>
      </c>
      <c r="D778" t="s">
        <v>321</v>
      </c>
      <c r="E778" s="2">
        <v>26</v>
      </c>
      <c r="F778" t="str">
        <f>VLOOKUP(G778,'Expenses Reference'!$A$1:$B$23,2, FALSE)</f>
        <v>Needs</v>
      </c>
      <c r="G778" t="s">
        <v>213</v>
      </c>
    </row>
    <row r="779" spans="1:7" x14ac:dyDescent="0.3">
      <c r="A779" s="107" t="str">
        <f t="shared" si="198"/>
        <v>2025 03 (Mar)</v>
      </c>
      <c r="B779" s="165">
        <v>45717</v>
      </c>
      <c r="C779" s="162" t="str">
        <f t="shared" si="199"/>
        <v>Saturday</v>
      </c>
      <c r="D779" t="s">
        <v>560</v>
      </c>
      <c r="E779" s="2">
        <f>20000+(2000/3)</f>
        <v>20666.666666666668</v>
      </c>
      <c r="F779" t="str">
        <f>VLOOKUP(G779,'Expenses Reference'!$A$1:$B$23,2, FALSE)</f>
        <v>Needs</v>
      </c>
      <c r="G779" t="s">
        <v>30</v>
      </c>
    </row>
    <row r="780" spans="1:7" x14ac:dyDescent="0.3">
      <c r="A780" s="107" t="str">
        <f t="shared" si="198"/>
        <v>2025 03 (Mar)</v>
      </c>
      <c r="B780" s="165">
        <v>45717</v>
      </c>
      <c r="C780" s="162" t="str">
        <f t="shared" si="199"/>
        <v>Saturday</v>
      </c>
      <c r="D780" t="s">
        <v>561</v>
      </c>
      <c r="E780" s="2">
        <v>950</v>
      </c>
      <c r="F780" t="str">
        <f>VLOOKUP(G780,'Expenses Reference'!$A$1:$B$23,2, FALSE)</f>
        <v>Wants</v>
      </c>
      <c r="G780" t="s">
        <v>83</v>
      </c>
    </row>
    <row r="781" spans="1:7" x14ac:dyDescent="0.3">
      <c r="A781" s="107" t="str">
        <f t="shared" si="198"/>
        <v>2025 03 (Mar)</v>
      </c>
      <c r="B781" s="165">
        <v>45717</v>
      </c>
      <c r="C781" s="162" t="str">
        <f t="shared" si="199"/>
        <v>Saturday</v>
      </c>
      <c r="D781" t="s">
        <v>562</v>
      </c>
      <c r="E781" s="2">
        <v>2000</v>
      </c>
      <c r="F781" t="str">
        <f>VLOOKUP(G781,'Expenses Reference'!$A$1:$B$23,2, FALSE)</f>
        <v>Needs</v>
      </c>
      <c r="G781" t="s">
        <v>33</v>
      </c>
    </row>
    <row r="782" spans="1:7" x14ac:dyDescent="0.3">
      <c r="A782" s="107" t="str">
        <f t="shared" si="198"/>
        <v>2025 03 (Mar)</v>
      </c>
      <c r="B782" s="165">
        <v>45717</v>
      </c>
      <c r="C782" s="162" t="str">
        <f t="shared" si="199"/>
        <v>Saturday</v>
      </c>
      <c r="D782" t="s">
        <v>214</v>
      </c>
      <c r="E782" s="2">
        <v>185</v>
      </c>
      <c r="F782" t="str">
        <f>VLOOKUP(G782,'Expenses Reference'!$A$1:$B$23,2, FALSE)</f>
        <v>Wants</v>
      </c>
      <c r="G782" t="s">
        <v>81</v>
      </c>
    </row>
    <row r="783" spans="1:7" x14ac:dyDescent="0.3">
      <c r="A783" s="107" t="str">
        <f t="shared" si="198"/>
        <v>2025 03 (Mar)</v>
      </c>
      <c r="B783" s="165">
        <v>45718</v>
      </c>
      <c r="C783" s="162" t="str">
        <f t="shared" si="199"/>
        <v>Sunday</v>
      </c>
      <c r="D783" t="s">
        <v>563</v>
      </c>
      <c r="E783" s="2">
        <v>146</v>
      </c>
      <c r="F783" t="str">
        <f>VLOOKUP(G783,'Expenses Reference'!$A$1:$B$23,2, FALSE)</f>
        <v>Wants</v>
      </c>
      <c r="G783" t="s">
        <v>84</v>
      </c>
    </row>
    <row r="784" spans="1:7" x14ac:dyDescent="0.3">
      <c r="A784" s="107" t="str">
        <f t="shared" si="198"/>
        <v>2025 03 (Mar)</v>
      </c>
      <c r="B784" s="165">
        <v>45718</v>
      </c>
      <c r="C784" s="162" t="str">
        <f t="shared" si="199"/>
        <v>Sunday</v>
      </c>
      <c r="D784" t="s">
        <v>564</v>
      </c>
      <c r="E784" s="2">
        <v>120</v>
      </c>
      <c r="F784" t="str">
        <f>VLOOKUP(G784,'Expenses Reference'!$A$1:$B$23,2, FALSE)</f>
        <v>Wants</v>
      </c>
      <c r="G784" t="s">
        <v>84</v>
      </c>
    </row>
    <row r="785" spans="1:7" x14ac:dyDescent="0.3">
      <c r="A785" s="107" t="str">
        <f t="shared" si="198"/>
        <v>2025 03 (Mar)</v>
      </c>
      <c r="B785" s="165">
        <v>45719</v>
      </c>
      <c r="C785" s="162" t="str">
        <f t="shared" si="199"/>
        <v>Monday</v>
      </c>
      <c r="D785" t="s">
        <v>418</v>
      </c>
      <c r="E785" s="2">
        <f>7500+7500+5000</f>
        <v>20000</v>
      </c>
      <c r="F785" t="str">
        <f>VLOOKUP(G785,'Expenses Reference'!$A$1:$B$23,2, FALSE)</f>
        <v>Investments</v>
      </c>
      <c r="G785" t="s">
        <v>217</v>
      </c>
    </row>
    <row r="786" spans="1:7" x14ac:dyDescent="0.3">
      <c r="A786" s="107" t="str">
        <f t="shared" si="198"/>
        <v>2025 03 (Mar)</v>
      </c>
      <c r="B786" s="165">
        <v>45719</v>
      </c>
      <c r="C786" s="162" t="str">
        <f t="shared" si="199"/>
        <v>Monday</v>
      </c>
      <c r="D786" t="s">
        <v>546</v>
      </c>
      <c r="E786" s="2">
        <v>468</v>
      </c>
      <c r="F786" t="str">
        <f>VLOOKUP(G786,'Expenses Reference'!$A$1:$B$23,2, FALSE)</f>
        <v>Wants</v>
      </c>
      <c r="G786" t="s">
        <v>81</v>
      </c>
    </row>
    <row r="787" spans="1:7" x14ac:dyDescent="0.3">
      <c r="A787" s="107" t="str">
        <f t="shared" si="198"/>
        <v>2025 03 (Mar)</v>
      </c>
      <c r="B787" s="165">
        <v>45719</v>
      </c>
      <c r="C787" s="162" t="str">
        <f t="shared" si="199"/>
        <v>Monday</v>
      </c>
      <c r="D787" t="s">
        <v>214</v>
      </c>
      <c r="E787" s="2">
        <v>327</v>
      </c>
      <c r="F787" t="str">
        <f>VLOOKUP(G787,'Expenses Reference'!$A$1:$B$23,2, FALSE)</f>
        <v>Wants</v>
      </c>
      <c r="G787" t="s">
        <v>81</v>
      </c>
    </row>
    <row r="788" spans="1:7" x14ac:dyDescent="0.3">
      <c r="A788" s="107" t="str">
        <f t="shared" si="198"/>
        <v>2025 03 (Mar)</v>
      </c>
      <c r="B788" s="165">
        <v>45721</v>
      </c>
      <c r="C788" s="162" t="str">
        <f t="shared" si="199"/>
        <v>Wednesday</v>
      </c>
      <c r="D788" t="s">
        <v>281</v>
      </c>
      <c r="E788" s="2">
        <v>55</v>
      </c>
      <c r="F788" t="str">
        <f>VLOOKUP(G788,'Expenses Reference'!$A$1:$B$23,2, FALSE)</f>
        <v>Needs</v>
      </c>
      <c r="G788" t="s">
        <v>213</v>
      </c>
    </row>
    <row r="789" spans="1:7" x14ac:dyDescent="0.3">
      <c r="A789" s="107" t="str">
        <f t="shared" si="198"/>
        <v>2025 03 (Mar)</v>
      </c>
      <c r="B789" s="165">
        <v>45721</v>
      </c>
      <c r="C789" s="162" t="str">
        <f t="shared" si="199"/>
        <v>Wednesday</v>
      </c>
      <c r="D789" t="s">
        <v>559</v>
      </c>
      <c r="E789" s="2">
        <v>130</v>
      </c>
      <c r="F789" t="str">
        <f>VLOOKUP(G789,'Expenses Reference'!$A$1:$B$23,2, FALSE)</f>
        <v>Needs</v>
      </c>
      <c r="G789" t="s">
        <v>35</v>
      </c>
    </row>
    <row r="790" spans="1:7" x14ac:dyDescent="0.3">
      <c r="A790" s="107" t="str">
        <f t="shared" si="198"/>
        <v>2025 03 (Mar)</v>
      </c>
      <c r="B790" s="165">
        <v>45721</v>
      </c>
      <c r="C790" s="162" t="str">
        <f t="shared" si="199"/>
        <v>Wednesday</v>
      </c>
      <c r="D790" t="s">
        <v>321</v>
      </c>
      <c r="E790" s="2">
        <v>32</v>
      </c>
      <c r="F790" t="str">
        <f>VLOOKUP(G790,'Expenses Reference'!$A$1:$B$23,2, FALSE)</f>
        <v>Needs</v>
      </c>
      <c r="G790" t="s">
        <v>213</v>
      </c>
    </row>
    <row r="791" spans="1:7" x14ac:dyDescent="0.3">
      <c r="A791" s="107" t="str">
        <f t="shared" si="198"/>
        <v>2025 03 (Mar)</v>
      </c>
      <c r="B791" s="165">
        <v>45722</v>
      </c>
      <c r="C791" s="162" t="str">
        <f t="shared" si="199"/>
        <v>Thursday</v>
      </c>
      <c r="D791" t="s">
        <v>281</v>
      </c>
      <c r="E791" s="2">
        <v>60</v>
      </c>
      <c r="F791" t="str">
        <f>VLOOKUP(G791,'Expenses Reference'!$A$1:$B$23,2, FALSE)</f>
        <v>Needs</v>
      </c>
      <c r="G791" t="s">
        <v>213</v>
      </c>
    </row>
    <row r="792" spans="1:7" x14ac:dyDescent="0.3">
      <c r="A792" s="107" t="str">
        <f t="shared" si="198"/>
        <v>2025 03 (Mar)</v>
      </c>
      <c r="B792" s="165">
        <v>45722</v>
      </c>
      <c r="C792" s="162" t="str">
        <f t="shared" si="199"/>
        <v>Thursday</v>
      </c>
      <c r="D792" t="s">
        <v>559</v>
      </c>
      <c r="E792" s="2">
        <v>119</v>
      </c>
      <c r="F792" t="str">
        <f>VLOOKUP(G792,'Expenses Reference'!$A$1:$B$23,2, FALSE)</f>
        <v>Needs</v>
      </c>
      <c r="G792" t="s">
        <v>35</v>
      </c>
    </row>
    <row r="793" spans="1:7" x14ac:dyDescent="0.3">
      <c r="A793" s="107" t="str">
        <f t="shared" si="198"/>
        <v>2025 03 (Mar)</v>
      </c>
      <c r="B793" s="165">
        <v>45722</v>
      </c>
      <c r="C793" s="162" t="str">
        <f t="shared" si="199"/>
        <v>Thursday</v>
      </c>
      <c r="D793" t="s">
        <v>565</v>
      </c>
      <c r="E793" s="2">
        <v>220</v>
      </c>
      <c r="F793" t="str">
        <f>VLOOKUP(G793,'Expenses Reference'!$A$1:$B$23,2, FALSE)</f>
        <v>Wants</v>
      </c>
      <c r="G793" t="s">
        <v>81</v>
      </c>
    </row>
    <row r="794" spans="1:7" x14ac:dyDescent="0.3">
      <c r="A794" s="107" t="str">
        <f t="shared" si="198"/>
        <v>2025 03 (Mar)</v>
      </c>
      <c r="B794" s="165">
        <v>45722</v>
      </c>
      <c r="C794" s="162" t="str">
        <f t="shared" si="199"/>
        <v>Thursday</v>
      </c>
      <c r="D794" t="s">
        <v>321</v>
      </c>
      <c r="E794" s="2">
        <v>45</v>
      </c>
      <c r="F794" t="str">
        <f>VLOOKUP(G794,'Expenses Reference'!$A$1:$B$23,2, FALSE)</f>
        <v>Needs</v>
      </c>
      <c r="G794" t="s">
        <v>213</v>
      </c>
    </row>
    <row r="795" spans="1:7" x14ac:dyDescent="0.3">
      <c r="A795" s="107" t="str">
        <f t="shared" si="198"/>
        <v>2025 03 (Mar)</v>
      </c>
      <c r="B795" s="165">
        <v>45723</v>
      </c>
      <c r="C795" s="162" t="str">
        <f t="shared" si="199"/>
        <v>Friday</v>
      </c>
      <c r="D795" t="s">
        <v>214</v>
      </c>
      <c r="E795" s="2">
        <v>302</v>
      </c>
      <c r="F795" t="str">
        <f>VLOOKUP(G795,'Expenses Reference'!$A$1:$B$23,2, FALSE)</f>
        <v>Wants</v>
      </c>
      <c r="G795" t="s">
        <v>81</v>
      </c>
    </row>
    <row r="796" spans="1:7" x14ac:dyDescent="0.3">
      <c r="A796" s="107" t="str">
        <f t="shared" si="198"/>
        <v>2025 03 (Mar)</v>
      </c>
      <c r="B796" s="165">
        <v>45723</v>
      </c>
      <c r="C796" s="162" t="str">
        <f t="shared" si="199"/>
        <v>Friday</v>
      </c>
      <c r="D796" t="s">
        <v>566</v>
      </c>
      <c r="E796" s="2">
        <v>119</v>
      </c>
      <c r="F796" t="str">
        <f>VLOOKUP(G796,'Expenses Reference'!$A$1:$B$23,2, FALSE)</f>
        <v>Wants</v>
      </c>
      <c r="G796" t="s">
        <v>54</v>
      </c>
    </row>
    <row r="797" spans="1:7" x14ac:dyDescent="0.3">
      <c r="A797" s="107" t="str">
        <f t="shared" si="198"/>
        <v>2025 03 (Mar)</v>
      </c>
      <c r="B797" s="165">
        <v>45723</v>
      </c>
      <c r="C797" s="162" t="str">
        <f t="shared" si="199"/>
        <v>Friday</v>
      </c>
      <c r="D797" t="s">
        <v>281</v>
      </c>
      <c r="E797" s="2">
        <v>62</v>
      </c>
      <c r="F797" t="str">
        <f>VLOOKUP(G797,'Expenses Reference'!$A$1:$B$23,2, FALSE)</f>
        <v>Needs</v>
      </c>
      <c r="G797" t="s">
        <v>213</v>
      </c>
    </row>
    <row r="798" spans="1:7" x14ac:dyDescent="0.3">
      <c r="A798" s="107" t="str">
        <f t="shared" si="198"/>
        <v>2025 03 (Mar)</v>
      </c>
      <c r="B798" s="165">
        <v>45723</v>
      </c>
      <c r="C798" s="162" t="str">
        <f t="shared" si="199"/>
        <v>Friday</v>
      </c>
      <c r="D798" t="s">
        <v>559</v>
      </c>
      <c r="E798" s="2">
        <v>119</v>
      </c>
      <c r="F798" t="str">
        <f>VLOOKUP(G798,'Expenses Reference'!$A$1:$B$23,2, FALSE)</f>
        <v>Needs</v>
      </c>
      <c r="G798" t="s">
        <v>35</v>
      </c>
    </row>
    <row r="799" spans="1:7" x14ac:dyDescent="0.3">
      <c r="A799" s="107" t="str">
        <f t="shared" si="198"/>
        <v>2025 03 (Mar)</v>
      </c>
      <c r="B799" s="165">
        <v>45723</v>
      </c>
      <c r="C799" s="162" t="str">
        <f t="shared" si="199"/>
        <v>Friday</v>
      </c>
      <c r="D799" t="s">
        <v>565</v>
      </c>
      <c r="E799" s="2">
        <v>290</v>
      </c>
      <c r="F799" t="str">
        <f>VLOOKUP(G799,'Expenses Reference'!$A$1:$B$23,2, FALSE)</f>
        <v>Wants</v>
      </c>
      <c r="G799" t="s">
        <v>81</v>
      </c>
    </row>
    <row r="800" spans="1:7" x14ac:dyDescent="0.3">
      <c r="A800" s="107" t="str">
        <f t="shared" si="198"/>
        <v>2025 03 (Mar)</v>
      </c>
      <c r="B800" s="165">
        <v>45723</v>
      </c>
      <c r="C800" s="162" t="str">
        <f t="shared" si="199"/>
        <v>Friday</v>
      </c>
      <c r="D800" t="s">
        <v>321</v>
      </c>
      <c r="E800" s="2">
        <v>33</v>
      </c>
      <c r="F800" t="str">
        <f>VLOOKUP(G800,'Expenses Reference'!$A$1:$B$23,2, FALSE)</f>
        <v>Needs</v>
      </c>
      <c r="G800" t="s">
        <v>213</v>
      </c>
    </row>
    <row r="801" spans="1:8" x14ac:dyDescent="0.3">
      <c r="A801" s="107" t="str">
        <f t="shared" si="198"/>
        <v>2025 03 (Mar)</v>
      </c>
      <c r="B801" s="165">
        <v>45725</v>
      </c>
      <c r="C801" s="162" t="str">
        <f t="shared" si="199"/>
        <v>Sunday</v>
      </c>
      <c r="D801" t="s">
        <v>567</v>
      </c>
      <c r="E801" s="2">
        <v>62</v>
      </c>
      <c r="F801" t="str">
        <f>VLOOKUP(G801,'Expenses Reference'!$A$1:$B$23,2, FALSE)</f>
        <v>Wants</v>
      </c>
      <c r="G801" t="s">
        <v>84</v>
      </c>
    </row>
    <row r="802" spans="1:8" x14ac:dyDescent="0.3">
      <c r="A802" s="107" t="str">
        <f t="shared" si="198"/>
        <v>2025 03 (Mar)</v>
      </c>
      <c r="B802" s="165">
        <v>45725</v>
      </c>
      <c r="C802" s="162" t="str">
        <f t="shared" si="199"/>
        <v>Sunday</v>
      </c>
      <c r="D802" t="s">
        <v>568</v>
      </c>
      <c r="E802" s="2">
        <v>250</v>
      </c>
      <c r="F802" t="str">
        <f>VLOOKUP(G802,'Expenses Reference'!$A$1:$B$23,2, FALSE)</f>
        <v>Wants</v>
      </c>
      <c r="G802" t="s">
        <v>81</v>
      </c>
    </row>
    <row r="803" spans="1:8" x14ac:dyDescent="0.3">
      <c r="A803" s="107" t="str">
        <f t="shared" si="198"/>
        <v>2025 03 (Mar)</v>
      </c>
      <c r="B803" s="165">
        <v>45725</v>
      </c>
      <c r="C803" s="162" t="str">
        <f t="shared" si="199"/>
        <v>Sunday</v>
      </c>
      <c r="D803" t="s">
        <v>569</v>
      </c>
      <c r="E803" s="2">
        <v>96834</v>
      </c>
      <c r="F803" t="str">
        <f>VLOOKUP(G803,'Expenses Reference'!$A$1:$B$23,2, FALSE)</f>
        <v>Wants</v>
      </c>
      <c r="G803" t="s">
        <v>83</v>
      </c>
    </row>
    <row r="804" spans="1:8" x14ac:dyDescent="0.3">
      <c r="A804" s="107" t="str">
        <f t="shared" si="198"/>
        <v>2025 03 (Mar)</v>
      </c>
      <c r="B804" s="165">
        <v>45725</v>
      </c>
      <c r="C804" s="162" t="str">
        <f t="shared" si="199"/>
        <v>Sunday</v>
      </c>
      <c r="D804" t="s">
        <v>570</v>
      </c>
      <c r="E804" s="2">
        <v>5000</v>
      </c>
      <c r="F804" t="str">
        <f>VLOOKUP(G804,'Expenses Reference'!$A$1:$B$23,2, FALSE)</f>
        <v>Wants</v>
      </c>
      <c r="G804" t="s">
        <v>83</v>
      </c>
    </row>
    <row r="805" spans="1:8" x14ac:dyDescent="0.3">
      <c r="A805" s="107" t="str">
        <f t="shared" si="198"/>
        <v>2025 03 (Mar)</v>
      </c>
      <c r="B805" s="165">
        <v>45725</v>
      </c>
      <c r="C805" s="162" t="str">
        <f t="shared" si="199"/>
        <v>Sunday</v>
      </c>
      <c r="D805" t="s">
        <v>571</v>
      </c>
      <c r="E805" s="2">
        <v>63</v>
      </c>
      <c r="F805" t="str">
        <f>VLOOKUP(G805,'Expenses Reference'!$A$1:$B$23,2, FALSE)</f>
        <v>Wants</v>
      </c>
      <c r="G805" t="s">
        <v>84</v>
      </c>
    </row>
    <row r="806" spans="1:8" x14ac:dyDescent="0.3">
      <c r="A806" s="107" t="str">
        <f t="shared" si="198"/>
        <v>2025 03 (Mar)</v>
      </c>
      <c r="B806" s="165">
        <v>45726</v>
      </c>
      <c r="C806" s="162" t="str">
        <f t="shared" si="199"/>
        <v>Monday</v>
      </c>
      <c r="D806" t="s">
        <v>214</v>
      </c>
      <c r="E806" s="2">
        <v>229</v>
      </c>
      <c r="F806" t="str">
        <f>VLOOKUP(G806,'Expenses Reference'!$A$1:$B$23,2, FALSE)</f>
        <v>Wants</v>
      </c>
      <c r="G806" t="s">
        <v>81</v>
      </c>
    </row>
    <row r="807" spans="1:8" x14ac:dyDescent="0.3">
      <c r="A807" s="107" t="str">
        <f t="shared" si="198"/>
        <v>2025 03 (Mar)</v>
      </c>
      <c r="B807" s="165">
        <v>45726</v>
      </c>
      <c r="C807" s="162" t="str">
        <f t="shared" si="199"/>
        <v>Monday</v>
      </c>
      <c r="D807" t="s">
        <v>546</v>
      </c>
      <c r="E807" s="2">
        <v>544</v>
      </c>
      <c r="F807" t="str">
        <f>VLOOKUP(G807,'Expenses Reference'!$A$1:$B$23,2, FALSE)</f>
        <v>Wants</v>
      </c>
      <c r="G807" t="s">
        <v>81</v>
      </c>
    </row>
    <row r="808" spans="1:8" x14ac:dyDescent="0.3">
      <c r="A808" s="107" t="str">
        <f t="shared" si="198"/>
        <v>2025 03 (Mar)</v>
      </c>
      <c r="B808" s="165">
        <v>45727</v>
      </c>
      <c r="C808" s="162" t="str">
        <f t="shared" si="199"/>
        <v>Tuesday</v>
      </c>
      <c r="D808" t="s">
        <v>281</v>
      </c>
      <c r="E808" s="2">
        <v>60</v>
      </c>
      <c r="F808" t="str">
        <f>VLOOKUP(G808,'Expenses Reference'!$A$1:$B$23,2, FALSE)</f>
        <v>Needs</v>
      </c>
      <c r="G808" t="s">
        <v>213</v>
      </c>
    </row>
    <row r="809" spans="1:8" x14ac:dyDescent="0.3">
      <c r="A809" s="107" t="str">
        <f t="shared" si="198"/>
        <v>2025 03 (Mar)</v>
      </c>
      <c r="B809" s="165">
        <v>45727</v>
      </c>
      <c r="C809" s="162" t="str">
        <f t="shared" si="199"/>
        <v>Tuesday</v>
      </c>
      <c r="D809" t="s">
        <v>500</v>
      </c>
      <c r="E809" s="2">
        <v>848</v>
      </c>
      <c r="F809" t="str">
        <f>VLOOKUP(G809,'Expenses Reference'!$A$1:$B$23,2, FALSE)</f>
        <v>Wants</v>
      </c>
      <c r="G809" t="s">
        <v>81</v>
      </c>
    </row>
    <row r="810" spans="1:8" x14ac:dyDescent="0.3">
      <c r="A810" s="107" t="str">
        <f t="shared" si="198"/>
        <v>2025 03 (Mar)</v>
      </c>
      <c r="B810" s="165">
        <v>45728</v>
      </c>
      <c r="C810" s="162" t="str">
        <f t="shared" si="199"/>
        <v>Wednesday</v>
      </c>
      <c r="D810" t="s">
        <v>281</v>
      </c>
      <c r="E810" s="2">
        <v>50</v>
      </c>
      <c r="F810" t="str">
        <f>VLOOKUP(G810,'Expenses Reference'!$A$1:$B$23,2, FALSE)</f>
        <v>Needs</v>
      </c>
      <c r="G810" t="s">
        <v>213</v>
      </c>
    </row>
    <row r="811" spans="1:8" x14ac:dyDescent="0.3">
      <c r="A811" s="107" t="str">
        <f t="shared" si="198"/>
        <v>2025 03 (Mar)</v>
      </c>
      <c r="B811" s="165">
        <v>45728</v>
      </c>
      <c r="C811" s="162" t="str">
        <f t="shared" si="199"/>
        <v>Wednesday</v>
      </c>
      <c r="D811" t="s">
        <v>572</v>
      </c>
      <c r="E811" s="2">
        <v>389.33333333333331</v>
      </c>
      <c r="F811" t="str">
        <f>VLOOKUP(G811,'Expenses Reference'!$A$1:$B$23,2, FALSE)</f>
        <v>Wants</v>
      </c>
      <c r="G811" t="s">
        <v>81</v>
      </c>
      <c r="H811" s="1" t="s">
        <v>479</v>
      </c>
    </row>
    <row r="812" spans="1:8" x14ac:dyDescent="0.3">
      <c r="A812" s="107" t="str">
        <f t="shared" si="198"/>
        <v>2025 03 (Mar)</v>
      </c>
      <c r="B812" s="165">
        <v>45728</v>
      </c>
      <c r="C812" s="162" t="str">
        <f t="shared" si="199"/>
        <v>Wednesday</v>
      </c>
      <c r="D812" t="s">
        <v>321</v>
      </c>
      <c r="E812" s="2">
        <v>40</v>
      </c>
      <c r="F812" t="str">
        <f>VLOOKUP(G812,'Expenses Reference'!$A$1:$B$23,2, FALSE)</f>
        <v>Needs</v>
      </c>
      <c r="G812" t="s">
        <v>213</v>
      </c>
    </row>
    <row r="813" spans="1:8" x14ac:dyDescent="0.3">
      <c r="A813" s="107" t="str">
        <f t="shared" si="198"/>
        <v>2025 03 (Mar)</v>
      </c>
      <c r="B813" s="165">
        <v>45729</v>
      </c>
      <c r="C813" s="162" t="str">
        <f t="shared" si="199"/>
        <v>Thursday</v>
      </c>
      <c r="D813" t="s">
        <v>460</v>
      </c>
      <c r="E813" s="2">
        <v>60</v>
      </c>
      <c r="F813" t="str">
        <f>VLOOKUP(G813,'Expenses Reference'!$A$1:$B$23,2, FALSE)</f>
        <v>Needs</v>
      </c>
      <c r="G813" t="s">
        <v>213</v>
      </c>
    </row>
    <row r="814" spans="1:8" x14ac:dyDescent="0.3">
      <c r="A814" s="107" t="str">
        <f t="shared" si="198"/>
        <v>2025 03 (Mar)</v>
      </c>
      <c r="B814" s="165">
        <v>45729</v>
      </c>
      <c r="C814" s="162" t="str">
        <f t="shared" si="199"/>
        <v>Thursday</v>
      </c>
      <c r="D814" t="s">
        <v>67</v>
      </c>
      <c r="E814" s="2">
        <v>90</v>
      </c>
      <c r="F814" t="str">
        <f>VLOOKUP(G814,'Expenses Reference'!$A$1:$B$23,2, FALSE)</f>
        <v>Needs</v>
      </c>
      <c r="G814" t="s">
        <v>35</v>
      </c>
    </row>
    <row r="815" spans="1:8" x14ac:dyDescent="0.3">
      <c r="A815" s="107" t="str">
        <f t="shared" si="198"/>
        <v>2025 03 (Mar)</v>
      </c>
      <c r="B815" s="165">
        <v>45729</v>
      </c>
      <c r="C815" s="162" t="str">
        <f t="shared" si="199"/>
        <v>Thursday</v>
      </c>
      <c r="D815" t="s">
        <v>66</v>
      </c>
      <c r="E815" s="2">
        <v>393</v>
      </c>
      <c r="F815" t="str">
        <f>VLOOKUP(G815,'Expenses Reference'!$A$1:$B$23,2, FALSE)</f>
        <v>Wants</v>
      </c>
      <c r="G815" t="s">
        <v>81</v>
      </c>
    </row>
    <row r="816" spans="1:8" x14ac:dyDescent="0.3">
      <c r="A816" s="107" t="str">
        <f t="shared" si="198"/>
        <v>2025 03 (Mar)</v>
      </c>
      <c r="B816" s="165">
        <v>45730</v>
      </c>
      <c r="C816" s="162" t="str">
        <f t="shared" si="199"/>
        <v>Friday</v>
      </c>
      <c r="D816" t="s">
        <v>109</v>
      </c>
      <c r="E816" s="2">
        <v>159</v>
      </c>
      <c r="F816" t="str">
        <f>VLOOKUP(G816,'Expenses Reference'!$A$1:$B$23,2, FALSE)</f>
        <v>Wants</v>
      </c>
      <c r="G816" t="s">
        <v>54</v>
      </c>
    </row>
    <row r="817" spans="1:7" x14ac:dyDescent="0.3">
      <c r="A817" s="107" t="str">
        <f t="shared" si="198"/>
        <v>2025 03 (Mar)</v>
      </c>
      <c r="B817" s="165">
        <v>45730</v>
      </c>
      <c r="C817" s="162" t="str">
        <f t="shared" si="199"/>
        <v>Friday</v>
      </c>
      <c r="D817" t="s">
        <v>65</v>
      </c>
      <c r="E817" s="2">
        <f>481+941</f>
        <v>1422</v>
      </c>
      <c r="F817" t="str">
        <f>VLOOKUP(G817,'Expenses Reference'!$A$1:$B$23,2, FALSE)</f>
        <v>Wants</v>
      </c>
      <c r="G817" t="s">
        <v>81</v>
      </c>
    </row>
    <row r="818" spans="1:7" x14ac:dyDescent="0.3">
      <c r="A818" s="107" t="str">
        <f t="shared" si="198"/>
        <v>2025 03 (Mar)</v>
      </c>
      <c r="B818" s="165">
        <v>45731</v>
      </c>
      <c r="C818" s="162" t="str">
        <f t="shared" si="199"/>
        <v>Saturday</v>
      </c>
      <c r="D818" t="s">
        <v>66</v>
      </c>
      <c r="E818" s="2">
        <v>297</v>
      </c>
      <c r="F818" t="str">
        <f>VLOOKUP(G818,'Expenses Reference'!$A$1:$B$23,2, FALSE)</f>
        <v>Wants</v>
      </c>
      <c r="G818" t="s">
        <v>81</v>
      </c>
    </row>
    <row r="819" spans="1:7" x14ac:dyDescent="0.3">
      <c r="A819" s="107" t="str">
        <f t="shared" si="198"/>
        <v>2025 03 (Mar)</v>
      </c>
      <c r="B819" s="165">
        <v>45731</v>
      </c>
      <c r="C819" s="162" t="str">
        <f t="shared" si="199"/>
        <v>Saturday</v>
      </c>
      <c r="D819" t="s">
        <v>571</v>
      </c>
      <c r="E819" s="2">
        <v>62</v>
      </c>
      <c r="F819" t="str">
        <f>VLOOKUP(G819,'Expenses Reference'!$A$1:$B$23,2, FALSE)</f>
        <v>Wants</v>
      </c>
      <c r="G819" t="s">
        <v>84</v>
      </c>
    </row>
    <row r="820" spans="1:7" x14ac:dyDescent="0.3">
      <c r="A820" s="107" t="str">
        <f t="shared" ref="A820:A885" si="200">_xlfn.CONCAT(YEAR(B820), " ", CHOOSE(MONTH(B820), "01 (Jan)", "02 (Feb)", "03 (Mar)", "04 (Apr)", "05 (May)", "06 (Jun)", "07 (Jul)", "08 (Aug)", "09 (Sep)", "10 (Oct)", "11 (Nov)", "12 (Dec)"))</f>
        <v>2025 03 (Mar)</v>
      </c>
      <c r="B820" s="165">
        <v>45731</v>
      </c>
      <c r="C820" s="162" t="str">
        <f t="shared" ref="C820:C885" si="201">CHOOSE(WEEKDAY(B820),"Sunday","Monday","Tuesday","Wednesday","Thursday","Friday","Saturday")</f>
        <v>Saturday</v>
      </c>
      <c r="D820" t="s">
        <v>585</v>
      </c>
      <c r="E820" s="2">
        <f>213.57+67</f>
        <v>280.57</v>
      </c>
      <c r="F820" t="str">
        <f>VLOOKUP(G820,'Expenses Reference'!$A$1:$B$23,2, FALSE)</f>
        <v>Wants</v>
      </c>
      <c r="G820" t="s">
        <v>81</v>
      </c>
    </row>
    <row r="821" spans="1:7" x14ac:dyDescent="0.3">
      <c r="A821" s="107" t="str">
        <f t="shared" si="200"/>
        <v>2025 03 (Mar)</v>
      </c>
      <c r="B821" s="165">
        <v>45731</v>
      </c>
      <c r="C821" s="162" t="str">
        <f t="shared" si="201"/>
        <v>Saturday</v>
      </c>
      <c r="D821" t="s">
        <v>586</v>
      </c>
      <c r="E821" s="2">
        <v>810</v>
      </c>
      <c r="F821" t="str">
        <f>VLOOKUP(G821,'Expenses Reference'!$A$1:$B$23,2, FALSE)</f>
        <v>Wants</v>
      </c>
      <c r="G821" t="s">
        <v>81</v>
      </c>
    </row>
    <row r="822" spans="1:7" x14ac:dyDescent="0.3">
      <c r="A822" s="107" t="str">
        <f t="shared" si="200"/>
        <v>2025 03 (Mar)</v>
      </c>
      <c r="B822" s="165">
        <v>45732</v>
      </c>
      <c r="C822" s="162" t="str">
        <f t="shared" si="201"/>
        <v>Sunday</v>
      </c>
      <c r="D822" t="s">
        <v>511</v>
      </c>
      <c r="E822" s="2">
        <v>100</v>
      </c>
      <c r="F822" t="str">
        <f>VLOOKUP(G822,'Expenses Reference'!$A$1:$B$23,2, FALSE)</f>
        <v>Wants</v>
      </c>
      <c r="G822" t="s">
        <v>81</v>
      </c>
    </row>
    <row r="823" spans="1:7" x14ac:dyDescent="0.3">
      <c r="A823" s="107" t="str">
        <f t="shared" si="200"/>
        <v>2025 03 (Mar)</v>
      </c>
      <c r="B823" s="165">
        <v>45732</v>
      </c>
      <c r="C823" s="162" t="str">
        <f t="shared" si="201"/>
        <v>Sunday</v>
      </c>
      <c r="D823" t="s">
        <v>207</v>
      </c>
      <c r="E823" s="2">
        <v>60</v>
      </c>
      <c r="F823" t="str">
        <f>VLOOKUP(G823,'Expenses Reference'!$A$1:$B$23,2, FALSE)</f>
        <v>Wants</v>
      </c>
      <c r="G823" t="s">
        <v>84</v>
      </c>
    </row>
    <row r="824" spans="1:7" x14ac:dyDescent="0.3">
      <c r="A824" s="107" t="str">
        <f t="shared" si="200"/>
        <v>2025 03 (Mar)</v>
      </c>
      <c r="B824" s="165">
        <v>45733</v>
      </c>
      <c r="C824" s="162" t="str">
        <f t="shared" si="201"/>
        <v>Monday</v>
      </c>
      <c r="D824" t="s">
        <v>460</v>
      </c>
      <c r="E824" s="2">
        <v>50</v>
      </c>
      <c r="F824" t="str">
        <f>VLOOKUP(G824,'Expenses Reference'!$A$1:$B$23,2, FALSE)</f>
        <v>Needs</v>
      </c>
      <c r="G824" t="s">
        <v>213</v>
      </c>
    </row>
    <row r="825" spans="1:7" x14ac:dyDescent="0.3">
      <c r="A825" s="107" t="str">
        <f t="shared" si="200"/>
        <v>2025 03 (Mar)</v>
      </c>
      <c r="B825" s="165">
        <v>45733</v>
      </c>
      <c r="C825" s="162" t="str">
        <f t="shared" si="201"/>
        <v>Monday</v>
      </c>
      <c r="D825" t="s">
        <v>559</v>
      </c>
      <c r="E825" s="2">
        <v>55</v>
      </c>
      <c r="F825" t="str">
        <f>VLOOKUP(G825,'Expenses Reference'!$A$1:$B$23,2, FALSE)</f>
        <v>Needs</v>
      </c>
      <c r="G825" t="s">
        <v>35</v>
      </c>
    </row>
    <row r="826" spans="1:7" x14ac:dyDescent="0.3">
      <c r="A826" s="107" t="str">
        <f t="shared" si="200"/>
        <v>2025 03 (Mar)</v>
      </c>
      <c r="B826" s="165">
        <v>45733</v>
      </c>
      <c r="C826" s="162" t="str">
        <f t="shared" si="201"/>
        <v>Monday</v>
      </c>
      <c r="D826" t="s">
        <v>546</v>
      </c>
      <c r="E826" s="2">
        <v>658</v>
      </c>
      <c r="F826" t="str">
        <f>VLOOKUP(G826,'Expenses Reference'!$A$1:$B$23,2, FALSE)</f>
        <v>Wants</v>
      </c>
      <c r="G826" t="s">
        <v>81</v>
      </c>
    </row>
    <row r="827" spans="1:7" x14ac:dyDescent="0.3">
      <c r="A827" s="107" t="str">
        <f t="shared" si="200"/>
        <v>2025 03 (Mar)</v>
      </c>
      <c r="B827" s="165">
        <v>45733</v>
      </c>
      <c r="C827" s="162" t="str">
        <f t="shared" si="201"/>
        <v>Monday</v>
      </c>
      <c r="D827" t="s">
        <v>321</v>
      </c>
      <c r="E827" s="2">
        <v>30</v>
      </c>
      <c r="F827" t="str">
        <f>VLOOKUP(G827,'Expenses Reference'!$A$1:$B$23,2, FALSE)</f>
        <v>Needs</v>
      </c>
      <c r="G827" t="s">
        <v>213</v>
      </c>
    </row>
    <row r="828" spans="1:7" x14ac:dyDescent="0.3">
      <c r="A828" s="107" t="str">
        <f t="shared" si="200"/>
        <v>2025 03 (Mar)</v>
      </c>
      <c r="B828" s="165">
        <v>45733</v>
      </c>
      <c r="C828" s="162" t="str">
        <f t="shared" si="201"/>
        <v>Monday</v>
      </c>
      <c r="D828" t="s">
        <v>214</v>
      </c>
      <c r="E828" s="2">
        <v>267</v>
      </c>
      <c r="F828" t="str">
        <f>VLOOKUP(G828,'Expenses Reference'!$A$1:$B$23,2, FALSE)</f>
        <v>Wants</v>
      </c>
      <c r="G828" t="s">
        <v>81</v>
      </c>
    </row>
    <row r="829" spans="1:7" x14ac:dyDescent="0.3">
      <c r="A829" s="107" t="str">
        <f t="shared" si="200"/>
        <v>2025 03 (Mar)</v>
      </c>
      <c r="B829" s="165">
        <v>45734</v>
      </c>
      <c r="C829" s="162" t="str">
        <f t="shared" si="201"/>
        <v>Tuesday</v>
      </c>
      <c r="D829" t="s">
        <v>281</v>
      </c>
      <c r="E829" s="2">
        <v>60</v>
      </c>
      <c r="F829" t="str">
        <f>VLOOKUP(G829,'Expenses Reference'!$A$1:$B$23,2, FALSE)</f>
        <v>Needs</v>
      </c>
      <c r="G829" t="s">
        <v>213</v>
      </c>
    </row>
    <row r="830" spans="1:7" x14ac:dyDescent="0.3">
      <c r="A830" s="107" t="str">
        <f t="shared" si="200"/>
        <v>2025 03 (Mar)</v>
      </c>
      <c r="B830" s="165">
        <v>45734</v>
      </c>
      <c r="C830" s="162" t="str">
        <f t="shared" si="201"/>
        <v>Tuesday</v>
      </c>
      <c r="D830" t="s">
        <v>559</v>
      </c>
      <c r="E830" s="2">
        <v>180</v>
      </c>
      <c r="F830" t="str">
        <f>VLOOKUP(G830,'Expenses Reference'!$A$1:$B$23,2, FALSE)</f>
        <v>Needs</v>
      </c>
      <c r="G830" t="s">
        <v>35</v>
      </c>
    </row>
    <row r="831" spans="1:7" x14ac:dyDescent="0.3">
      <c r="A831" s="107" t="str">
        <f t="shared" si="200"/>
        <v>2025 03 (Mar)</v>
      </c>
      <c r="B831" s="165">
        <v>45734</v>
      </c>
      <c r="C831" s="162" t="str">
        <f t="shared" si="201"/>
        <v>Tuesday</v>
      </c>
      <c r="D831" t="s">
        <v>554</v>
      </c>
      <c r="E831" s="2">
        <v>70</v>
      </c>
      <c r="F831" t="str">
        <f>VLOOKUP(G831,'Expenses Reference'!$A$1:$B$23,2, FALSE)</f>
        <v>Wants</v>
      </c>
      <c r="G831" t="s">
        <v>81</v>
      </c>
    </row>
    <row r="832" spans="1:7" x14ac:dyDescent="0.3">
      <c r="A832" s="107" t="str">
        <f t="shared" si="200"/>
        <v>2025 03 (Mar)</v>
      </c>
      <c r="B832" s="165">
        <v>45735</v>
      </c>
      <c r="C832" s="162" t="str">
        <f t="shared" si="201"/>
        <v>Wednesday</v>
      </c>
      <c r="D832" t="s">
        <v>281</v>
      </c>
      <c r="E832" s="2">
        <v>60</v>
      </c>
      <c r="F832" t="str">
        <f>VLOOKUP(G832,'Expenses Reference'!$A$1:$B$23,2, FALSE)</f>
        <v>Needs</v>
      </c>
      <c r="G832" t="s">
        <v>213</v>
      </c>
    </row>
    <row r="833" spans="1:9" x14ac:dyDescent="0.3">
      <c r="A833" s="107" t="str">
        <f t="shared" si="200"/>
        <v>2025 03 (Mar)</v>
      </c>
      <c r="B833" s="165">
        <v>45735</v>
      </c>
      <c r="C833" s="162" t="str">
        <f t="shared" si="201"/>
        <v>Wednesday</v>
      </c>
      <c r="D833" t="s">
        <v>574</v>
      </c>
      <c r="E833" s="2">
        <v>35</v>
      </c>
      <c r="F833" t="str">
        <f>VLOOKUP(G833,'Expenses Reference'!$A$1:$B$23,2, FALSE)</f>
        <v>Wants</v>
      </c>
      <c r="G833" t="s">
        <v>84</v>
      </c>
    </row>
    <row r="834" spans="1:9" x14ac:dyDescent="0.3">
      <c r="A834" s="107" t="str">
        <f t="shared" si="200"/>
        <v>2025 03 (Mar)</v>
      </c>
      <c r="B834" s="165">
        <v>45735</v>
      </c>
      <c r="C834" s="162" t="str">
        <f t="shared" si="201"/>
        <v>Wednesday</v>
      </c>
      <c r="D834" t="s">
        <v>321</v>
      </c>
      <c r="E834" s="2">
        <v>54</v>
      </c>
      <c r="F834" t="str">
        <f>VLOOKUP(G834,'Expenses Reference'!$A$1:$B$23,2, FALSE)</f>
        <v>Wants</v>
      </c>
      <c r="G834" t="s">
        <v>84</v>
      </c>
    </row>
    <row r="835" spans="1:9" x14ac:dyDescent="0.3">
      <c r="A835" s="107" t="str">
        <f t="shared" si="200"/>
        <v>2025 03 (Mar)</v>
      </c>
      <c r="B835" s="165">
        <v>45736</v>
      </c>
      <c r="C835" s="162" t="str">
        <f t="shared" si="201"/>
        <v>Thursday</v>
      </c>
      <c r="D835" t="s">
        <v>575</v>
      </c>
      <c r="E835" s="2">
        <v>35</v>
      </c>
      <c r="F835" t="str">
        <f>VLOOKUP(G835,'Expenses Reference'!$A$1:$B$23,2, FALSE)</f>
        <v>Wants</v>
      </c>
      <c r="G835" t="s">
        <v>84</v>
      </c>
    </row>
    <row r="836" spans="1:9" x14ac:dyDescent="0.3">
      <c r="A836" s="107" t="str">
        <f t="shared" si="200"/>
        <v>2025 03 (Mar)</v>
      </c>
      <c r="B836" s="165">
        <v>45736</v>
      </c>
      <c r="C836" s="162" t="str">
        <f t="shared" si="201"/>
        <v>Thursday</v>
      </c>
      <c r="D836" t="s">
        <v>576</v>
      </c>
      <c r="E836" s="2">
        <f>834/3</f>
        <v>278</v>
      </c>
      <c r="F836" t="str">
        <f>VLOOKUP(G836,'Expenses Reference'!$A$1:$B$23,2, FALSE)</f>
        <v>Wants</v>
      </c>
      <c r="G836" t="s">
        <v>81</v>
      </c>
      <c r="I836" s="1" t="s">
        <v>577</v>
      </c>
    </row>
    <row r="837" spans="1:9" x14ac:dyDescent="0.3">
      <c r="A837" s="107" t="str">
        <f t="shared" si="200"/>
        <v>2025 03 (Mar)</v>
      </c>
      <c r="B837" s="165">
        <v>45736</v>
      </c>
      <c r="C837" s="162" t="str">
        <f t="shared" si="201"/>
        <v>Thursday</v>
      </c>
      <c r="D837" t="s">
        <v>321</v>
      </c>
      <c r="E837" s="2">
        <v>35</v>
      </c>
      <c r="F837" t="str">
        <f>VLOOKUP(G837,'Expenses Reference'!$A$1:$B$23,2, FALSE)</f>
        <v>Wants</v>
      </c>
      <c r="G837" t="s">
        <v>84</v>
      </c>
    </row>
    <row r="838" spans="1:9" x14ac:dyDescent="0.3">
      <c r="A838" s="107" t="str">
        <f t="shared" si="200"/>
        <v>2025 03 (Mar)</v>
      </c>
      <c r="B838" s="165">
        <v>45737</v>
      </c>
      <c r="C838" s="162" t="str">
        <f t="shared" si="201"/>
        <v>Friday</v>
      </c>
      <c r="D838" t="s">
        <v>578</v>
      </c>
      <c r="E838" s="2">
        <v>70</v>
      </c>
      <c r="F838" t="str">
        <f>VLOOKUP(G838,'Expenses Reference'!$A$1:$B$23,2, FALSE)</f>
        <v>Wants</v>
      </c>
      <c r="G838" t="s">
        <v>81</v>
      </c>
      <c r="I838" s="1" t="s">
        <v>579</v>
      </c>
    </row>
    <row r="839" spans="1:9" x14ac:dyDescent="0.3">
      <c r="A839" s="107" t="str">
        <f t="shared" si="200"/>
        <v>2025 03 (Mar)</v>
      </c>
      <c r="B839" s="165">
        <v>45737</v>
      </c>
      <c r="C839" s="162" t="str">
        <f t="shared" si="201"/>
        <v>Friday</v>
      </c>
      <c r="D839" t="s">
        <v>587</v>
      </c>
      <c r="E839" s="2">
        <v>70</v>
      </c>
      <c r="F839" t="str">
        <f>VLOOKUP(G839,'Expenses Reference'!$A$1:$B$23,2, FALSE)</f>
        <v>Wants</v>
      </c>
      <c r="G839" t="s">
        <v>81</v>
      </c>
    </row>
    <row r="840" spans="1:9" x14ac:dyDescent="0.3">
      <c r="A840" s="107" t="str">
        <f t="shared" si="200"/>
        <v>2025 03 (Mar)</v>
      </c>
      <c r="B840" s="165">
        <v>45737</v>
      </c>
      <c r="C840" s="162" t="str">
        <f t="shared" si="201"/>
        <v>Friday</v>
      </c>
      <c r="D840" t="s">
        <v>321</v>
      </c>
      <c r="E840" s="2">
        <v>40</v>
      </c>
      <c r="F840" t="str">
        <f>VLOOKUP(G840,'Expenses Reference'!$A$1:$B$23,2, FALSE)</f>
        <v>Wants</v>
      </c>
      <c r="G840" t="s">
        <v>84</v>
      </c>
    </row>
    <row r="841" spans="1:9" x14ac:dyDescent="0.3">
      <c r="A841" s="107" t="str">
        <f t="shared" si="200"/>
        <v>2025 03 (Mar)</v>
      </c>
      <c r="B841" s="165">
        <v>45738</v>
      </c>
      <c r="C841" s="162" t="str">
        <f t="shared" si="201"/>
        <v>Saturday</v>
      </c>
      <c r="D841" t="s">
        <v>580</v>
      </c>
      <c r="E841" s="2">
        <v>199</v>
      </c>
      <c r="F841" t="str">
        <f>VLOOKUP(G841,'Expenses Reference'!$A$1:$B$23,2, FALSE)</f>
        <v>Wants</v>
      </c>
      <c r="G841" t="s">
        <v>54</v>
      </c>
    </row>
    <row r="842" spans="1:9" x14ac:dyDescent="0.3">
      <c r="A842" s="107" t="str">
        <f t="shared" si="200"/>
        <v>2025 03 (Mar)</v>
      </c>
      <c r="B842" s="165">
        <v>45738</v>
      </c>
      <c r="C842" s="162" t="str">
        <f t="shared" si="201"/>
        <v>Saturday</v>
      </c>
      <c r="D842" t="s">
        <v>588</v>
      </c>
      <c r="E842" s="2">
        <v>140</v>
      </c>
      <c r="F842" t="str">
        <f>VLOOKUP(G842,'Expenses Reference'!$A$1:$B$23,2, FALSE)</f>
        <v>Needs</v>
      </c>
      <c r="G842" t="s">
        <v>34</v>
      </c>
    </row>
    <row r="843" spans="1:9" x14ac:dyDescent="0.3">
      <c r="A843" s="107" t="str">
        <f t="shared" si="200"/>
        <v>2025 03 (Mar)</v>
      </c>
      <c r="B843" s="165">
        <v>45738</v>
      </c>
      <c r="C843" s="162" t="str">
        <f t="shared" si="201"/>
        <v>Saturday</v>
      </c>
      <c r="D843" t="s">
        <v>584</v>
      </c>
      <c r="E843" s="2">
        <v>256</v>
      </c>
      <c r="F843" t="str">
        <f>VLOOKUP(G843,'Expenses Reference'!$A$1:$B$23,2, FALSE)</f>
        <v>Wants</v>
      </c>
      <c r="G843" t="s">
        <v>81</v>
      </c>
    </row>
    <row r="844" spans="1:9" x14ac:dyDescent="0.3">
      <c r="A844" s="107" t="str">
        <f t="shared" si="200"/>
        <v>2025 03 (Mar)</v>
      </c>
      <c r="B844" s="165">
        <v>45739</v>
      </c>
      <c r="C844" s="162" t="str">
        <f t="shared" si="201"/>
        <v>Sunday</v>
      </c>
      <c r="D844" t="s">
        <v>581</v>
      </c>
      <c r="E844" s="2">
        <v>85</v>
      </c>
      <c r="F844" t="str">
        <f>VLOOKUP(G844,'Expenses Reference'!$A$1:$B$23,2, FALSE)</f>
        <v>Wants</v>
      </c>
      <c r="G844" t="s">
        <v>84</v>
      </c>
    </row>
    <row r="845" spans="1:9" x14ac:dyDescent="0.3">
      <c r="A845" s="107" t="str">
        <f t="shared" si="200"/>
        <v>2025 03 (Mar)</v>
      </c>
      <c r="B845" s="165">
        <v>45739</v>
      </c>
      <c r="C845" s="162" t="str">
        <f t="shared" si="201"/>
        <v>Sunday</v>
      </c>
      <c r="D845" t="s">
        <v>582</v>
      </c>
      <c r="F845" t="str">
        <f>VLOOKUP(G845,'Expenses Reference'!$A$1:$B$23,2, FALSE)</f>
        <v>Wants</v>
      </c>
      <c r="G845" t="s">
        <v>81</v>
      </c>
    </row>
    <row r="846" spans="1:9" x14ac:dyDescent="0.3">
      <c r="A846" s="107" t="str">
        <f t="shared" si="200"/>
        <v>2025 03 (Mar)</v>
      </c>
      <c r="B846" s="165">
        <v>45739</v>
      </c>
      <c r="C846" s="162" t="str">
        <f t="shared" si="201"/>
        <v>Sunday</v>
      </c>
      <c r="D846" t="s">
        <v>321</v>
      </c>
      <c r="E846" s="2">
        <v>80</v>
      </c>
      <c r="F846" t="str">
        <f>VLOOKUP(G846,'Expenses Reference'!$A$1:$B$23,2, FALSE)</f>
        <v>Wants</v>
      </c>
      <c r="G846" t="s">
        <v>84</v>
      </c>
    </row>
    <row r="847" spans="1:9" x14ac:dyDescent="0.3">
      <c r="A847" s="107" t="str">
        <f t="shared" si="200"/>
        <v>2025 03 (Mar)</v>
      </c>
      <c r="B847" s="165">
        <v>45739</v>
      </c>
      <c r="C847" s="162" t="str">
        <f t="shared" si="201"/>
        <v>Sunday</v>
      </c>
      <c r="D847" t="s">
        <v>583</v>
      </c>
      <c r="E847" s="2">
        <v>220</v>
      </c>
      <c r="F847" t="str">
        <f>VLOOKUP(G847,'Expenses Reference'!$A$1:$B$23,2, FALSE)</f>
        <v>Needs</v>
      </c>
      <c r="G847" t="s">
        <v>146</v>
      </c>
    </row>
    <row r="848" spans="1:9" x14ac:dyDescent="0.3">
      <c r="A848" s="107" t="str">
        <f t="shared" ref="A848" si="202">_xlfn.CONCAT(YEAR(B848), " ", CHOOSE(MONTH(B848), "01 (Jan)", "02 (Feb)", "03 (Mar)", "04 (Apr)", "05 (May)", "06 (Jun)", "07 (Jul)", "08 (Aug)", "09 (Sep)", "10 (Oct)", "11 (Nov)", "12 (Dec)"))</f>
        <v>2025 03 (Mar)</v>
      </c>
      <c r="B848" s="165">
        <v>45739</v>
      </c>
      <c r="C848" s="162" t="str">
        <f t="shared" ref="C848" si="203">CHOOSE(WEEKDAY(B848),"Sunday","Monday","Tuesday","Wednesday","Thursday","Friday","Saturday")</f>
        <v>Sunday</v>
      </c>
      <c r="D848" t="s">
        <v>593</v>
      </c>
      <c r="E848" s="2">
        <v>2145</v>
      </c>
      <c r="F848" t="str">
        <f>VLOOKUP(G848,'Expenses Reference'!$A$1:$B$23,2, FALSE)</f>
        <v>Wants</v>
      </c>
      <c r="G848" t="s">
        <v>185</v>
      </c>
    </row>
    <row r="849" spans="1:7" x14ac:dyDescent="0.3">
      <c r="A849" s="107" t="str">
        <f t="shared" si="200"/>
        <v>2025 03 (Mar)</v>
      </c>
      <c r="B849" s="165">
        <v>45740</v>
      </c>
      <c r="C849" s="162" t="str">
        <f t="shared" si="201"/>
        <v>Monday</v>
      </c>
      <c r="D849" t="s">
        <v>281</v>
      </c>
      <c r="E849" s="2">
        <v>100</v>
      </c>
      <c r="F849" t="str">
        <f>VLOOKUP(G849,'Expenses Reference'!$A$1:$B$23,2, FALSE)</f>
        <v>Needs</v>
      </c>
      <c r="G849" t="s">
        <v>213</v>
      </c>
    </row>
    <row r="850" spans="1:7" x14ac:dyDescent="0.3">
      <c r="A850" s="107" t="str">
        <f t="shared" si="200"/>
        <v>2025 03 (Mar)</v>
      </c>
      <c r="B850" s="165">
        <v>45740</v>
      </c>
      <c r="C850" s="162" t="str">
        <f t="shared" si="201"/>
        <v>Monday</v>
      </c>
      <c r="D850" t="s">
        <v>321</v>
      </c>
      <c r="E850" s="2">
        <v>41</v>
      </c>
      <c r="F850" t="str">
        <f>VLOOKUP(G850,'Expenses Reference'!$A$1:$B$23,2, FALSE)</f>
        <v>Needs</v>
      </c>
      <c r="G850" t="s">
        <v>213</v>
      </c>
    </row>
    <row r="851" spans="1:7" x14ac:dyDescent="0.3">
      <c r="A851" s="107" t="str">
        <f t="shared" si="200"/>
        <v>2025 03 (Mar)</v>
      </c>
      <c r="B851" s="165">
        <v>45741</v>
      </c>
      <c r="C851" s="162" t="str">
        <f t="shared" si="201"/>
        <v>Tuesday</v>
      </c>
      <c r="D851" t="s">
        <v>214</v>
      </c>
      <c r="E851" s="2">
        <v>378</v>
      </c>
      <c r="F851" t="str">
        <f>VLOOKUP(G851,'Expenses Reference'!$A$1:$B$23,2, FALSE)</f>
        <v>Wants</v>
      </c>
      <c r="G851" t="s">
        <v>81</v>
      </c>
    </row>
    <row r="852" spans="1:7" x14ac:dyDescent="0.3">
      <c r="A852" s="107" t="str">
        <f t="shared" si="200"/>
        <v>2025 03 (Mar)</v>
      </c>
      <c r="B852" s="165">
        <v>45741</v>
      </c>
      <c r="C852" s="162" t="str">
        <f t="shared" si="201"/>
        <v>Tuesday</v>
      </c>
      <c r="D852" t="s">
        <v>281</v>
      </c>
      <c r="E852" s="2">
        <v>65</v>
      </c>
      <c r="F852" t="str">
        <f>VLOOKUP(G852,'Expenses Reference'!$A$1:$B$23,2, FALSE)</f>
        <v>Needs</v>
      </c>
      <c r="G852" t="s">
        <v>213</v>
      </c>
    </row>
    <row r="853" spans="1:7" x14ac:dyDescent="0.3">
      <c r="A853" s="107" t="str">
        <f t="shared" si="200"/>
        <v>2025 03 (Mar)</v>
      </c>
      <c r="B853" s="165">
        <v>45741</v>
      </c>
      <c r="C853" s="162" t="str">
        <f t="shared" si="201"/>
        <v>Tuesday</v>
      </c>
      <c r="D853" t="s">
        <v>559</v>
      </c>
      <c r="E853" s="2">
        <v>136</v>
      </c>
      <c r="F853" t="str">
        <f>VLOOKUP(G853,'Expenses Reference'!$A$1:$B$23,2, FALSE)</f>
        <v>Needs</v>
      </c>
      <c r="G853" t="s">
        <v>35</v>
      </c>
    </row>
    <row r="854" spans="1:7" x14ac:dyDescent="0.3">
      <c r="A854" s="107" t="str">
        <f t="shared" si="200"/>
        <v>2025 03 (Mar)</v>
      </c>
      <c r="B854" s="165">
        <v>45742</v>
      </c>
      <c r="C854" s="162" t="str">
        <f t="shared" si="201"/>
        <v>Wednesday</v>
      </c>
      <c r="D854" t="s">
        <v>281</v>
      </c>
      <c r="E854" s="2">
        <v>73</v>
      </c>
      <c r="F854" t="str">
        <f>VLOOKUP(G854,'Expenses Reference'!$A$1:$B$23,2, FALSE)</f>
        <v>Needs</v>
      </c>
      <c r="G854" t="s">
        <v>213</v>
      </c>
    </row>
    <row r="855" spans="1:7" x14ac:dyDescent="0.3">
      <c r="A855" s="107" t="str">
        <f t="shared" si="200"/>
        <v>2025 03 (Mar)</v>
      </c>
      <c r="B855" s="165">
        <v>45742</v>
      </c>
      <c r="C855" s="162" t="str">
        <f t="shared" si="201"/>
        <v>Wednesday</v>
      </c>
      <c r="D855" t="s">
        <v>559</v>
      </c>
      <c r="E855" s="2">
        <f>35+95</f>
        <v>130</v>
      </c>
      <c r="F855" t="str">
        <f>VLOOKUP(G855,'Expenses Reference'!$A$1:$B$23,2, FALSE)</f>
        <v>Needs</v>
      </c>
      <c r="G855" t="s">
        <v>35</v>
      </c>
    </row>
    <row r="856" spans="1:7" x14ac:dyDescent="0.3">
      <c r="A856" s="107" t="str">
        <f t="shared" si="200"/>
        <v>2025 03 (Mar)</v>
      </c>
      <c r="B856" s="165">
        <v>45742</v>
      </c>
      <c r="C856" s="162" t="str">
        <f t="shared" si="201"/>
        <v>Wednesday</v>
      </c>
      <c r="D856" t="s">
        <v>546</v>
      </c>
      <c r="E856" s="2">
        <v>491</v>
      </c>
      <c r="F856" t="str">
        <f>VLOOKUP(G856,'Expenses Reference'!$A$1:$B$23,2, FALSE)</f>
        <v>Wants</v>
      </c>
      <c r="G856" t="s">
        <v>81</v>
      </c>
    </row>
    <row r="857" spans="1:7" x14ac:dyDescent="0.3">
      <c r="A857" s="107" t="str">
        <f t="shared" si="200"/>
        <v>2025 03 (Mar)</v>
      </c>
      <c r="B857" s="165">
        <v>45743</v>
      </c>
      <c r="C857" s="162" t="str">
        <f t="shared" si="201"/>
        <v>Thursday</v>
      </c>
      <c r="D857" t="s">
        <v>214</v>
      </c>
      <c r="E857" s="2">
        <v>187</v>
      </c>
      <c r="F857" t="str">
        <f>VLOOKUP(G857,'Expenses Reference'!$A$1:$B$23,2, FALSE)</f>
        <v>Wants</v>
      </c>
      <c r="G857" t="s">
        <v>81</v>
      </c>
    </row>
    <row r="858" spans="1:7" x14ac:dyDescent="0.3">
      <c r="A858" s="107" t="str">
        <f t="shared" si="200"/>
        <v>2025 03 (Mar)</v>
      </c>
      <c r="B858" s="165">
        <v>45743</v>
      </c>
      <c r="C858" s="162" t="str">
        <f t="shared" si="201"/>
        <v>Thursday</v>
      </c>
      <c r="D858" t="s">
        <v>546</v>
      </c>
      <c r="E858" s="2">
        <v>578</v>
      </c>
      <c r="F858" t="str">
        <f>VLOOKUP(G858,'Expenses Reference'!$A$1:$B$23,2, FALSE)</f>
        <v>Wants</v>
      </c>
      <c r="G858" t="s">
        <v>81</v>
      </c>
    </row>
    <row r="859" spans="1:7" x14ac:dyDescent="0.3">
      <c r="A859" s="107" t="str">
        <f t="shared" si="200"/>
        <v>2025 03 (Mar)</v>
      </c>
      <c r="B859" s="165">
        <v>45743</v>
      </c>
      <c r="C859" s="162" t="str">
        <f t="shared" si="201"/>
        <v>Thursday</v>
      </c>
      <c r="D859" t="s">
        <v>589</v>
      </c>
      <c r="E859" s="2">
        <f>100/3</f>
        <v>33.333333333333336</v>
      </c>
      <c r="F859" t="str">
        <f>VLOOKUP(G859,'Expenses Reference'!$A$1:$B$23,2, FALSE)</f>
        <v>Wants</v>
      </c>
      <c r="G859" t="s">
        <v>84</v>
      </c>
    </row>
    <row r="860" spans="1:7" x14ac:dyDescent="0.3">
      <c r="A860" s="107" t="str">
        <f t="shared" si="200"/>
        <v>2025 03 (Mar)</v>
      </c>
      <c r="B860" s="165">
        <v>45743</v>
      </c>
      <c r="C860" s="162" t="str">
        <f t="shared" si="201"/>
        <v>Thursday</v>
      </c>
      <c r="D860" t="s">
        <v>590</v>
      </c>
      <c r="E860" s="2">
        <v>34</v>
      </c>
      <c r="F860" t="str">
        <f>VLOOKUP(G860,'Expenses Reference'!$A$1:$B$23,2, FALSE)</f>
        <v>Wants</v>
      </c>
      <c r="G860" t="s">
        <v>84</v>
      </c>
    </row>
    <row r="861" spans="1:7" x14ac:dyDescent="0.3">
      <c r="A861" s="107" t="str">
        <f t="shared" si="200"/>
        <v>2025 03 (Mar)</v>
      </c>
      <c r="B861" s="165">
        <v>45743</v>
      </c>
      <c r="C861" s="162" t="str">
        <f t="shared" si="201"/>
        <v>Thursday</v>
      </c>
      <c r="D861" t="s">
        <v>591</v>
      </c>
      <c r="E861" s="2">
        <v>40</v>
      </c>
      <c r="F861" t="str">
        <f>VLOOKUP(G861,'Expenses Reference'!$A$1:$B$23,2, FALSE)</f>
        <v>Wants</v>
      </c>
      <c r="G861" t="s">
        <v>81</v>
      </c>
    </row>
    <row r="862" spans="1:7" x14ac:dyDescent="0.3">
      <c r="A862" s="107" t="str">
        <f t="shared" si="200"/>
        <v>2025 03 (Mar)</v>
      </c>
      <c r="B862" s="165">
        <v>45744</v>
      </c>
      <c r="C862" s="162" t="str">
        <f t="shared" si="201"/>
        <v>Friday</v>
      </c>
      <c r="D862" t="s">
        <v>592</v>
      </c>
      <c r="E862" s="2">
        <v>5260</v>
      </c>
      <c r="F862" t="str">
        <f>VLOOKUP(G862,'Expenses Reference'!$A$1:$B$23,2, FALSE)</f>
        <v>Wants</v>
      </c>
      <c r="G862" t="s">
        <v>594</v>
      </c>
    </row>
    <row r="863" spans="1:7" x14ac:dyDescent="0.3">
      <c r="A863" s="107" t="str">
        <f t="shared" si="200"/>
        <v>2025 03 (Mar)</v>
      </c>
      <c r="B863" s="165">
        <v>45744</v>
      </c>
      <c r="C863" s="162" t="str">
        <f t="shared" si="201"/>
        <v>Friday</v>
      </c>
      <c r="D863" t="s">
        <v>281</v>
      </c>
      <c r="E863" s="2">
        <v>55</v>
      </c>
      <c r="F863" t="str">
        <f>VLOOKUP(G863,'Expenses Reference'!$A$1:$B$23,2, FALSE)</f>
        <v>Needs</v>
      </c>
      <c r="G863" t="s">
        <v>213</v>
      </c>
    </row>
    <row r="864" spans="1:7" x14ac:dyDescent="0.3">
      <c r="A864" s="107" t="str">
        <f t="shared" si="200"/>
        <v>2025 03 (Mar)</v>
      </c>
      <c r="B864" s="165">
        <v>45744</v>
      </c>
      <c r="C864" s="162" t="str">
        <f t="shared" si="201"/>
        <v>Friday</v>
      </c>
      <c r="D864" t="s">
        <v>559</v>
      </c>
      <c r="E864" s="2">
        <f>185+238</f>
        <v>423</v>
      </c>
      <c r="F864" t="str">
        <f>VLOOKUP(G864,'Expenses Reference'!$A$1:$B$23,2, FALSE)</f>
        <v>Needs</v>
      </c>
      <c r="G864" t="s">
        <v>35</v>
      </c>
    </row>
    <row r="865" spans="1:7" x14ac:dyDescent="0.3">
      <c r="A865" s="107" t="str">
        <f t="shared" ref="A865" si="204">_xlfn.CONCAT(YEAR(B865), " ", CHOOSE(MONTH(B865), "01 (Jan)", "02 (Feb)", "03 (Mar)", "04 (Apr)", "05 (May)", "06 (Jun)", "07 (Jul)", "08 (Aug)", "09 (Sep)", "10 (Oct)", "11 (Nov)", "12 (Dec)"))</f>
        <v>2025 03 (Mar)</v>
      </c>
      <c r="B865" s="165">
        <v>45744</v>
      </c>
      <c r="C865" s="162" t="str">
        <f t="shared" ref="C865" si="205">CHOOSE(WEEKDAY(B865),"Sunday","Monday","Tuesday","Wednesday","Thursday","Friday","Saturday")</f>
        <v>Friday</v>
      </c>
      <c r="D865" t="s">
        <v>591</v>
      </c>
      <c r="E865" s="2">
        <v>40</v>
      </c>
      <c r="F865" t="str">
        <f>VLOOKUP(G865,'Expenses Reference'!$A$1:$B$23,2, FALSE)</f>
        <v>Wants</v>
      </c>
      <c r="G865" t="s">
        <v>81</v>
      </c>
    </row>
    <row r="866" spans="1:7" x14ac:dyDescent="0.3">
      <c r="B866" s="165"/>
    </row>
    <row r="867" spans="1:7" x14ac:dyDescent="0.3">
      <c r="B867" s="165"/>
    </row>
    <row r="868" spans="1:7" x14ac:dyDescent="0.3">
      <c r="B868" s="165"/>
    </row>
    <row r="869" spans="1:7" x14ac:dyDescent="0.3">
      <c r="B869" s="165"/>
    </row>
    <row r="870" spans="1:7" x14ac:dyDescent="0.3">
      <c r="B870" s="165"/>
    </row>
    <row r="871" spans="1:7" x14ac:dyDescent="0.3">
      <c r="B871" s="165"/>
    </row>
    <row r="872" spans="1:7" x14ac:dyDescent="0.3">
      <c r="B872" s="165"/>
    </row>
    <row r="873" spans="1:7" x14ac:dyDescent="0.3">
      <c r="B873" s="165"/>
    </row>
    <row r="874" spans="1:7" x14ac:dyDescent="0.3">
      <c r="B874" s="165"/>
    </row>
    <row r="875" spans="1:7" x14ac:dyDescent="0.3">
      <c r="B875" s="165"/>
    </row>
    <row r="876" spans="1:7" x14ac:dyDescent="0.3">
      <c r="B876" s="165"/>
    </row>
    <row r="877" spans="1:7" x14ac:dyDescent="0.3">
      <c r="B877" s="165"/>
    </row>
    <row r="878" spans="1:7" x14ac:dyDescent="0.3">
      <c r="B878" s="165"/>
    </row>
    <row r="879" spans="1:7" x14ac:dyDescent="0.3">
      <c r="B879" s="165"/>
    </row>
    <row r="880" spans="1:7" x14ac:dyDescent="0.3">
      <c r="B880" s="165"/>
    </row>
    <row r="881" spans="2:2" x14ac:dyDescent="0.3">
      <c r="B881" s="165"/>
    </row>
    <row r="882" spans="2:2" x14ac:dyDescent="0.3">
      <c r="B882" s="165"/>
    </row>
    <row r="883" spans="2:2" x14ac:dyDescent="0.3">
      <c r="B883" s="165"/>
    </row>
    <row r="884" spans="2:2" x14ac:dyDescent="0.3">
      <c r="B884" s="165"/>
    </row>
    <row r="885" spans="2:2" x14ac:dyDescent="0.3">
      <c r="B885" s="165"/>
    </row>
    <row r="886" spans="2:2" x14ac:dyDescent="0.3">
      <c r="B886" s="165"/>
    </row>
    <row r="887" spans="2:2" x14ac:dyDescent="0.3">
      <c r="B887" s="165"/>
    </row>
    <row r="888" spans="2:2" x14ac:dyDescent="0.3">
      <c r="B888" s="165"/>
    </row>
    <row r="889" spans="2:2" x14ac:dyDescent="0.3">
      <c r="B889" s="165"/>
    </row>
    <row r="890" spans="2:2" x14ac:dyDescent="0.3">
      <c r="B890" s="165"/>
    </row>
    <row r="891" spans="2:2" x14ac:dyDescent="0.3">
      <c r="B891" s="165"/>
    </row>
    <row r="892" spans="2:2" x14ac:dyDescent="0.3">
      <c r="B892" s="165"/>
    </row>
    <row r="893" spans="2:2" x14ac:dyDescent="0.3">
      <c r="B893" s="165"/>
    </row>
    <row r="894" spans="2:2" x14ac:dyDescent="0.3">
      <c r="B894" s="165"/>
    </row>
    <row r="895" spans="2:2" x14ac:dyDescent="0.3">
      <c r="B895" s="165"/>
    </row>
    <row r="896" spans="2:2" x14ac:dyDescent="0.3">
      <c r="B896" s="165"/>
    </row>
    <row r="897" spans="2:2" x14ac:dyDescent="0.3">
      <c r="B897" s="165"/>
    </row>
    <row r="898" spans="2:2" x14ac:dyDescent="0.3">
      <c r="B898" s="165"/>
    </row>
    <row r="899" spans="2:2" x14ac:dyDescent="0.3">
      <c r="B899" s="165"/>
    </row>
    <row r="900" spans="2:2" x14ac:dyDescent="0.3">
      <c r="B900" s="165"/>
    </row>
    <row r="901" spans="2:2" x14ac:dyDescent="0.3">
      <c r="B901" s="165"/>
    </row>
    <row r="902" spans="2:2" x14ac:dyDescent="0.3">
      <c r="B902" s="165"/>
    </row>
    <row r="903" spans="2:2" x14ac:dyDescent="0.3">
      <c r="B903" s="165"/>
    </row>
    <row r="904" spans="2:2" x14ac:dyDescent="0.3">
      <c r="B904" s="165"/>
    </row>
    <row r="905" spans="2:2" x14ac:dyDescent="0.3">
      <c r="B905" s="165"/>
    </row>
    <row r="906" spans="2:2" x14ac:dyDescent="0.3">
      <c r="B906" s="165"/>
    </row>
    <row r="907" spans="2:2" x14ac:dyDescent="0.3">
      <c r="B907" s="165"/>
    </row>
    <row r="908" spans="2:2" x14ac:dyDescent="0.3">
      <c r="B908" s="165"/>
    </row>
    <row r="909" spans="2:2" x14ac:dyDescent="0.3">
      <c r="B909" s="165"/>
    </row>
    <row r="910" spans="2:2" x14ac:dyDescent="0.3">
      <c r="B910" s="165"/>
    </row>
    <row r="911" spans="2:2" x14ac:dyDescent="0.3">
      <c r="B911" s="165"/>
    </row>
    <row r="912" spans="2:2" x14ac:dyDescent="0.3">
      <c r="B912" s="165"/>
    </row>
    <row r="913" spans="2:2" x14ac:dyDescent="0.3">
      <c r="B913" s="165"/>
    </row>
    <row r="914" spans="2:2" x14ac:dyDescent="0.3">
      <c r="B914" s="165"/>
    </row>
    <row r="915" spans="2:2" x14ac:dyDescent="0.3">
      <c r="B915" s="165"/>
    </row>
    <row r="916" spans="2:2" x14ac:dyDescent="0.3">
      <c r="B916" s="165"/>
    </row>
    <row r="917" spans="2:2" x14ac:dyDescent="0.3">
      <c r="B917" s="165"/>
    </row>
    <row r="918" spans="2:2" x14ac:dyDescent="0.3">
      <c r="B918" s="165"/>
    </row>
    <row r="919" spans="2:2" x14ac:dyDescent="0.3">
      <c r="B919" s="165"/>
    </row>
    <row r="920" spans="2:2" x14ac:dyDescent="0.3">
      <c r="B920" s="165"/>
    </row>
    <row r="921" spans="2:2" x14ac:dyDescent="0.3">
      <c r="B921" s="165"/>
    </row>
    <row r="922" spans="2:2" x14ac:dyDescent="0.3">
      <c r="B922" s="165"/>
    </row>
    <row r="923" spans="2:2" x14ac:dyDescent="0.3">
      <c r="B923" s="165"/>
    </row>
    <row r="924" spans="2:2" x14ac:dyDescent="0.3">
      <c r="B924" s="165"/>
    </row>
    <row r="925" spans="2:2" x14ac:dyDescent="0.3">
      <c r="B925" s="165"/>
    </row>
    <row r="926" spans="2:2" x14ac:dyDescent="0.3">
      <c r="B926" s="165"/>
    </row>
    <row r="927" spans="2:2" x14ac:dyDescent="0.3">
      <c r="B927" s="165"/>
    </row>
    <row r="928" spans="2:2" x14ac:dyDescent="0.3">
      <c r="B928" s="165"/>
    </row>
    <row r="929" spans="2:2" x14ac:dyDescent="0.3">
      <c r="B929" s="165"/>
    </row>
    <row r="930" spans="2:2" x14ac:dyDescent="0.3">
      <c r="B930" s="165"/>
    </row>
    <row r="931" spans="2:2" x14ac:dyDescent="0.3">
      <c r="B931" s="165"/>
    </row>
    <row r="932" spans="2:2" x14ac:dyDescent="0.3">
      <c r="B932" s="165"/>
    </row>
    <row r="933" spans="2:2" x14ac:dyDescent="0.3">
      <c r="B933" s="165"/>
    </row>
    <row r="934" spans="2:2" x14ac:dyDescent="0.3">
      <c r="B934" s="165"/>
    </row>
    <row r="935" spans="2:2" x14ac:dyDescent="0.3">
      <c r="B935" s="165"/>
    </row>
    <row r="936" spans="2:2" x14ac:dyDescent="0.3">
      <c r="B936" s="165"/>
    </row>
    <row r="937" spans="2:2" x14ac:dyDescent="0.3">
      <c r="B937" s="165"/>
    </row>
    <row r="938" spans="2:2" x14ac:dyDescent="0.3">
      <c r="B938" s="165"/>
    </row>
    <row r="939" spans="2:2" x14ac:dyDescent="0.3">
      <c r="B939" s="165"/>
    </row>
    <row r="940" spans="2:2" x14ac:dyDescent="0.3">
      <c r="B940" s="165"/>
    </row>
    <row r="941" spans="2:2" x14ac:dyDescent="0.3">
      <c r="B941" s="165"/>
    </row>
    <row r="942" spans="2:2" x14ac:dyDescent="0.3">
      <c r="B942" s="165"/>
    </row>
    <row r="943" spans="2:2" x14ac:dyDescent="0.3">
      <c r="B943" s="165"/>
    </row>
    <row r="944" spans="2:2" x14ac:dyDescent="0.3">
      <c r="B944" s="165"/>
    </row>
    <row r="945" spans="2:2" x14ac:dyDescent="0.3">
      <c r="B945" s="165"/>
    </row>
    <row r="946" spans="2:2" x14ac:dyDescent="0.3">
      <c r="B946" s="165"/>
    </row>
    <row r="947" spans="2:2" x14ac:dyDescent="0.3">
      <c r="B947" s="165"/>
    </row>
    <row r="948" spans="2:2" x14ac:dyDescent="0.3">
      <c r="B948" s="165"/>
    </row>
    <row r="949" spans="2:2" x14ac:dyDescent="0.3">
      <c r="B949" s="165"/>
    </row>
    <row r="950" spans="2:2" x14ac:dyDescent="0.3">
      <c r="B950" s="165"/>
    </row>
    <row r="951" spans="2:2" x14ac:dyDescent="0.3">
      <c r="B951" s="165"/>
    </row>
    <row r="952" spans="2:2" x14ac:dyDescent="0.3">
      <c r="B952" s="165"/>
    </row>
    <row r="953" spans="2:2" x14ac:dyDescent="0.3">
      <c r="B953" s="165"/>
    </row>
    <row r="954" spans="2:2" x14ac:dyDescent="0.3">
      <c r="B954" s="165"/>
    </row>
    <row r="955" spans="2:2" x14ac:dyDescent="0.3">
      <c r="B955" s="165"/>
    </row>
    <row r="956" spans="2:2" x14ac:dyDescent="0.3">
      <c r="B956" s="165"/>
    </row>
    <row r="957" spans="2:2" x14ac:dyDescent="0.3">
      <c r="B957" s="165"/>
    </row>
    <row r="958" spans="2:2" x14ac:dyDescent="0.3">
      <c r="B958" s="165"/>
    </row>
    <row r="959" spans="2:2" x14ac:dyDescent="0.3">
      <c r="B959" s="165"/>
    </row>
    <row r="960" spans="2:2" x14ac:dyDescent="0.3">
      <c r="B960" s="165"/>
    </row>
    <row r="961" spans="2:2" x14ac:dyDescent="0.3">
      <c r="B961" s="165"/>
    </row>
    <row r="962" spans="2:2" x14ac:dyDescent="0.3">
      <c r="B962" s="165"/>
    </row>
    <row r="963" spans="2:2" x14ac:dyDescent="0.3">
      <c r="B963" s="165"/>
    </row>
    <row r="964" spans="2:2" x14ac:dyDescent="0.3">
      <c r="B964" s="165"/>
    </row>
    <row r="965" spans="2:2" x14ac:dyDescent="0.3">
      <c r="B965" s="165"/>
    </row>
    <row r="966" spans="2:2" x14ac:dyDescent="0.3">
      <c r="B966" s="165"/>
    </row>
    <row r="967" spans="2:2" x14ac:dyDescent="0.3">
      <c r="B967" s="165"/>
    </row>
    <row r="968" spans="2:2" x14ac:dyDescent="0.3">
      <c r="B968" s="165"/>
    </row>
    <row r="969" spans="2:2" x14ac:dyDescent="0.3">
      <c r="B969" s="165"/>
    </row>
    <row r="970" spans="2:2" x14ac:dyDescent="0.3">
      <c r="B970" s="165"/>
    </row>
    <row r="971" spans="2:2" x14ac:dyDescent="0.3">
      <c r="B971" s="165"/>
    </row>
    <row r="972" spans="2:2" x14ac:dyDescent="0.3">
      <c r="B972" s="165"/>
    </row>
    <row r="973" spans="2:2" x14ac:dyDescent="0.3">
      <c r="B973" s="165"/>
    </row>
    <row r="974" spans="2:2" x14ac:dyDescent="0.3">
      <c r="B974" s="165"/>
    </row>
    <row r="975" spans="2:2" x14ac:dyDescent="0.3">
      <c r="B975" s="165"/>
    </row>
    <row r="976" spans="2:2" x14ac:dyDescent="0.3">
      <c r="B976" s="165"/>
    </row>
    <row r="977" spans="2:2" x14ac:dyDescent="0.3">
      <c r="B977" s="165"/>
    </row>
    <row r="978" spans="2:2" x14ac:dyDescent="0.3">
      <c r="B978" s="165"/>
    </row>
    <row r="979" spans="2:2" x14ac:dyDescent="0.3">
      <c r="B979" s="165"/>
    </row>
    <row r="980" spans="2:2" x14ac:dyDescent="0.3">
      <c r="B980" s="165"/>
    </row>
    <row r="981" spans="2:2" x14ac:dyDescent="0.3">
      <c r="B981" s="165"/>
    </row>
    <row r="982" spans="2:2" x14ac:dyDescent="0.3">
      <c r="B982" s="165"/>
    </row>
    <row r="983" spans="2:2" x14ac:dyDescent="0.3">
      <c r="B983" s="165"/>
    </row>
    <row r="984" spans="2:2" x14ac:dyDescent="0.3">
      <c r="B984" s="165"/>
    </row>
    <row r="985" spans="2:2" x14ac:dyDescent="0.3">
      <c r="B985" s="165"/>
    </row>
    <row r="986" spans="2:2" x14ac:dyDescent="0.3">
      <c r="B986" s="165"/>
    </row>
    <row r="987" spans="2:2" x14ac:dyDescent="0.3">
      <c r="B987" s="165"/>
    </row>
    <row r="988" spans="2:2" x14ac:dyDescent="0.3">
      <c r="B988" s="165"/>
    </row>
    <row r="989" spans="2:2" x14ac:dyDescent="0.3">
      <c r="B989" s="165"/>
    </row>
    <row r="990" spans="2:2" x14ac:dyDescent="0.3">
      <c r="B990" s="165"/>
    </row>
    <row r="991" spans="2:2" x14ac:dyDescent="0.3">
      <c r="B991" s="165"/>
    </row>
    <row r="992" spans="2:2" x14ac:dyDescent="0.3">
      <c r="B992" s="165"/>
    </row>
    <row r="993" spans="2:2" x14ac:dyDescent="0.3">
      <c r="B993" s="165"/>
    </row>
    <row r="994" spans="2:2" x14ac:dyDescent="0.3">
      <c r="B994" s="165"/>
    </row>
    <row r="995" spans="2:2" x14ac:dyDescent="0.3">
      <c r="B995" s="165"/>
    </row>
    <row r="996" spans="2:2" x14ac:dyDescent="0.3">
      <c r="B996" s="165"/>
    </row>
    <row r="997" spans="2:2" x14ac:dyDescent="0.3">
      <c r="B997" s="165"/>
    </row>
    <row r="998" spans="2:2" x14ac:dyDescent="0.3">
      <c r="B998" s="165"/>
    </row>
    <row r="999" spans="2:2" x14ac:dyDescent="0.3">
      <c r="B999" s="165"/>
    </row>
    <row r="1000" spans="2:2" x14ac:dyDescent="0.3">
      <c r="B1000" s="165"/>
    </row>
    <row r="1001" spans="2:2" x14ac:dyDescent="0.3">
      <c r="B1001" s="165"/>
    </row>
    <row r="1002" spans="2:2" x14ac:dyDescent="0.3">
      <c r="B1002" s="165"/>
    </row>
    <row r="1003" spans="2:2" x14ac:dyDescent="0.3">
      <c r="B1003" s="165"/>
    </row>
    <row r="1004" spans="2:2" x14ac:dyDescent="0.3">
      <c r="B1004" s="165"/>
    </row>
    <row r="1005" spans="2:2" x14ac:dyDescent="0.3">
      <c r="B1005" s="165"/>
    </row>
    <row r="1006" spans="2:2" x14ac:dyDescent="0.3">
      <c r="B1006" s="165"/>
    </row>
    <row r="1007" spans="2:2" x14ac:dyDescent="0.3">
      <c r="B1007" s="165"/>
    </row>
    <row r="1008" spans="2:2" x14ac:dyDescent="0.3">
      <c r="B1008" s="165"/>
    </row>
    <row r="1009" spans="2:2" x14ac:dyDescent="0.3">
      <c r="B1009" s="165"/>
    </row>
    <row r="1010" spans="2:2" x14ac:dyDescent="0.3">
      <c r="B1010" s="165"/>
    </row>
    <row r="1011" spans="2:2" x14ac:dyDescent="0.3">
      <c r="B1011" s="165"/>
    </row>
    <row r="1012" spans="2:2" x14ac:dyDescent="0.3">
      <c r="B1012" s="165"/>
    </row>
    <row r="1013" spans="2:2" x14ac:dyDescent="0.3">
      <c r="B1013" s="165"/>
    </row>
    <row r="1014" spans="2:2" x14ac:dyDescent="0.3">
      <c r="B1014" s="165"/>
    </row>
    <row r="1015" spans="2:2" x14ac:dyDescent="0.3">
      <c r="B1015" s="165"/>
    </row>
    <row r="1016" spans="2:2" x14ac:dyDescent="0.3">
      <c r="B1016" s="165"/>
    </row>
    <row r="1017" spans="2:2" x14ac:dyDescent="0.3">
      <c r="B1017" s="165"/>
    </row>
    <row r="1018" spans="2:2" x14ac:dyDescent="0.3">
      <c r="B1018" s="165"/>
    </row>
    <row r="1019" spans="2:2" x14ac:dyDescent="0.3">
      <c r="B1019" s="165"/>
    </row>
    <row r="1020" spans="2:2" x14ac:dyDescent="0.3">
      <c r="B1020" s="165"/>
    </row>
    <row r="1021" spans="2:2" x14ac:dyDescent="0.3">
      <c r="B1021" s="165"/>
    </row>
    <row r="1022" spans="2:2" x14ac:dyDescent="0.3">
      <c r="B1022" s="165"/>
    </row>
    <row r="1023" spans="2:2" x14ac:dyDescent="0.3">
      <c r="B1023" s="165"/>
    </row>
    <row r="1024" spans="2:2" x14ac:dyDescent="0.3">
      <c r="B1024" s="165"/>
    </row>
    <row r="1025" spans="2:2" x14ac:dyDescent="0.3">
      <c r="B1025" s="165"/>
    </row>
    <row r="1026" spans="2:2" x14ac:dyDescent="0.3">
      <c r="B1026" s="165"/>
    </row>
    <row r="1027" spans="2:2" x14ac:dyDescent="0.3">
      <c r="B1027" s="165"/>
    </row>
    <row r="1028" spans="2:2" x14ac:dyDescent="0.3">
      <c r="B1028" s="165"/>
    </row>
    <row r="1029" spans="2:2" x14ac:dyDescent="0.3">
      <c r="B1029" s="165"/>
    </row>
    <row r="1030" spans="2:2" x14ac:dyDescent="0.3">
      <c r="B1030" s="165"/>
    </row>
    <row r="1031" spans="2:2" x14ac:dyDescent="0.3">
      <c r="B1031" s="165"/>
    </row>
    <row r="1032" spans="2:2" x14ac:dyDescent="0.3">
      <c r="B1032" s="165"/>
    </row>
    <row r="1033" spans="2:2" x14ac:dyDescent="0.3">
      <c r="B1033" s="165"/>
    </row>
    <row r="1034" spans="2:2" x14ac:dyDescent="0.3">
      <c r="B1034" s="165"/>
    </row>
    <row r="1035" spans="2:2" x14ac:dyDescent="0.3">
      <c r="B1035" s="165"/>
    </row>
    <row r="1036" spans="2:2" x14ac:dyDescent="0.3">
      <c r="B1036" s="165"/>
    </row>
    <row r="1037" spans="2:2" x14ac:dyDescent="0.3">
      <c r="B1037" s="165"/>
    </row>
    <row r="1038" spans="2:2" x14ac:dyDescent="0.3">
      <c r="B1038" s="165"/>
    </row>
    <row r="1039" spans="2:2" x14ac:dyDescent="0.3">
      <c r="B1039" s="165"/>
    </row>
    <row r="1040" spans="2:2" x14ac:dyDescent="0.3">
      <c r="B1040" s="165"/>
    </row>
    <row r="1041" spans="2:2" x14ac:dyDescent="0.3">
      <c r="B1041" s="165"/>
    </row>
    <row r="1042" spans="2:2" x14ac:dyDescent="0.3">
      <c r="B1042" s="165"/>
    </row>
    <row r="1043" spans="2:2" x14ac:dyDescent="0.3">
      <c r="B1043" s="165"/>
    </row>
    <row r="1044" spans="2:2" x14ac:dyDescent="0.3">
      <c r="B1044" s="165"/>
    </row>
    <row r="1045" spans="2:2" x14ac:dyDescent="0.3">
      <c r="B1045" s="165"/>
    </row>
    <row r="1046" spans="2:2" x14ac:dyDescent="0.3">
      <c r="B1046" s="165"/>
    </row>
    <row r="1047" spans="2:2" x14ac:dyDescent="0.3">
      <c r="B1047" s="165"/>
    </row>
    <row r="1048" spans="2:2" x14ac:dyDescent="0.3">
      <c r="B1048" s="165"/>
    </row>
    <row r="1049" spans="2:2" x14ac:dyDescent="0.3">
      <c r="B1049" s="165"/>
    </row>
    <row r="1050" spans="2:2" x14ac:dyDescent="0.3">
      <c r="B1050" s="165"/>
    </row>
    <row r="1051" spans="2:2" x14ac:dyDescent="0.3">
      <c r="B1051" s="165"/>
    </row>
    <row r="1052" spans="2:2" x14ac:dyDescent="0.3">
      <c r="B1052" s="165"/>
    </row>
    <row r="1053" spans="2:2" x14ac:dyDescent="0.3">
      <c r="B1053" s="165"/>
    </row>
    <row r="1054" spans="2:2" x14ac:dyDescent="0.3">
      <c r="B1054" s="165"/>
    </row>
    <row r="1055" spans="2:2" x14ac:dyDescent="0.3">
      <c r="B1055" s="165"/>
    </row>
    <row r="1056" spans="2:2" x14ac:dyDescent="0.3">
      <c r="B1056" s="165"/>
    </row>
    <row r="1057" spans="2:2" x14ac:dyDescent="0.3">
      <c r="B1057" s="165"/>
    </row>
    <row r="1058" spans="2:2" x14ac:dyDescent="0.3">
      <c r="B1058" s="165"/>
    </row>
    <row r="1059" spans="2:2" x14ac:dyDescent="0.3">
      <c r="B1059" s="165"/>
    </row>
    <row r="1060" spans="2:2" x14ac:dyDescent="0.3">
      <c r="B1060" s="165"/>
    </row>
    <row r="1061" spans="2:2" x14ac:dyDescent="0.3">
      <c r="B1061" s="165"/>
    </row>
    <row r="1062" spans="2:2" x14ac:dyDescent="0.3">
      <c r="B1062" s="165"/>
    </row>
    <row r="1063" spans="2:2" x14ac:dyDescent="0.3">
      <c r="B1063" s="165"/>
    </row>
    <row r="1064" spans="2:2" x14ac:dyDescent="0.3">
      <c r="B1064" s="165"/>
    </row>
    <row r="1065" spans="2:2" x14ac:dyDescent="0.3">
      <c r="B1065" s="165"/>
    </row>
    <row r="1066" spans="2:2" x14ac:dyDescent="0.3">
      <c r="B1066" s="165"/>
    </row>
    <row r="1067" spans="2:2" x14ac:dyDescent="0.3">
      <c r="B1067" s="165"/>
    </row>
    <row r="1068" spans="2:2" x14ac:dyDescent="0.3">
      <c r="B1068" s="165"/>
    </row>
    <row r="1069" spans="2:2" x14ac:dyDescent="0.3">
      <c r="B1069" s="165"/>
    </row>
    <row r="1070" spans="2:2" x14ac:dyDescent="0.3">
      <c r="B1070" s="165"/>
    </row>
    <row r="1071" spans="2:2" x14ac:dyDescent="0.3">
      <c r="B1071" s="165"/>
    </row>
    <row r="1072" spans="2:2" x14ac:dyDescent="0.3">
      <c r="B1072" s="165"/>
    </row>
    <row r="1073" spans="2:2" x14ac:dyDescent="0.3">
      <c r="B1073" s="165"/>
    </row>
    <row r="1074" spans="2:2" x14ac:dyDescent="0.3">
      <c r="B1074" s="165"/>
    </row>
    <row r="1075" spans="2:2" x14ac:dyDescent="0.3">
      <c r="B1075" s="165"/>
    </row>
    <row r="1076" spans="2:2" x14ac:dyDescent="0.3">
      <c r="B1076" s="165"/>
    </row>
    <row r="1077" spans="2:2" x14ac:dyDescent="0.3">
      <c r="B1077" s="165"/>
    </row>
    <row r="1078" spans="2:2" x14ac:dyDescent="0.3">
      <c r="B1078" s="165"/>
    </row>
    <row r="1079" spans="2:2" x14ac:dyDescent="0.3">
      <c r="B1079" s="165"/>
    </row>
    <row r="1080" spans="2:2" x14ac:dyDescent="0.3">
      <c r="B1080" s="165"/>
    </row>
    <row r="1081" spans="2:2" x14ac:dyDescent="0.3">
      <c r="B1081" s="165"/>
    </row>
    <row r="1082" spans="2:2" x14ac:dyDescent="0.3">
      <c r="B1082" s="165"/>
    </row>
    <row r="1083" spans="2:2" x14ac:dyDescent="0.3">
      <c r="B1083" s="165"/>
    </row>
    <row r="1084" spans="2:2" x14ac:dyDescent="0.3">
      <c r="B1084" s="165"/>
    </row>
    <row r="1085" spans="2:2" x14ac:dyDescent="0.3">
      <c r="B1085" s="165"/>
    </row>
    <row r="1086" spans="2:2" x14ac:dyDescent="0.3">
      <c r="B1086" s="165"/>
    </row>
    <row r="1087" spans="2:2" x14ac:dyDescent="0.3">
      <c r="B1087" s="165"/>
    </row>
    <row r="1088" spans="2:2" x14ac:dyDescent="0.3">
      <c r="B1088" s="165"/>
    </row>
    <row r="1089" spans="2:2" x14ac:dyDescent="0.3">
      <c r="B1089" s="165"/>
    </row>
    <row r="1090" spans="2:2" x14ac:dyDescent="0.3">
      <c r="B1090" s="165"/>
    </row>
    <row r="1091" spans="2:2" x14ac:dyDescent="0.3">
      <c r="B1091" s="165"/>
    </row>
    <row r="1092" spans="2:2" x14ac:dyDescent="0.3">
      <c r="B1092" s="165"/>
    </row>
    <row r="1093" spans="2:2" x14ac:dyDescent="0.3">
      <c r="B1093" s="165"/>
    </row>
    <row r="1094" spans="2:2" x14ac:dyDescent="0.3">
      <c r="B1094" s="165"/>
    </row>
    <row r="1095" spans="2:2" x14ac:dyDescent="0.3">
      <c r="B1095" s="165"/>
    </row>
    <row r="1096" spans="2:2" x14ac:dyDescent="0.3">
      <c r="B1096" s="165"/>
    </row>
    <row r="1097" spans="2:2" x14ac:dyDescent="0.3">
      <c r="B1097" s="165"/>
    </row>
    <row r="1098" spans="2:2" x14ac:dyDescent="0.3">
      <c r="B1098" s="165"/>
    </row>
    <row r="1099" spans="2:2" x14ac:dyDescent="0.3">
      <c r="B1099" s="165"/>
    </row>
    <row r="1100" spans="2:2" x14ac:dyDescent="0.3">
      <c r="B1100" s="165"/>
    </row>
    <row r="1101" spans="2:2" x14ac:dyDescent="0.3">
      <c r="B1101" s="165"/>
    </row>
    <row r="1102" spans="2:2" x14ac:dyDescent="0.3">
      <c r="B1102" s="165"/>
    </row>
    <row r="1103" spans="2:2" x14ac:dyDescent="0.3">
      <c r="B1103" s="165"/>
    </row>
    <row r="1104" spans="2:2" x14ac:dyDescent="0.3">
      <c r="B1104" s="165"/>
    </row>
    <row r="1105" spans="2:2" x14ac:dyDescent="0.3">
      <c r="B1105" s="165"/>
    </row>
    <row r="1106" spans="2:2" x14ac:dyDescent="0.3">
      <c r="B1106" s="165"/>
    </row>
    <row r="1107" spans="2:2" x14ac:dyDescent="0.3">
      <c r="B1107" s="165"/>
    </row>
    <row r="1108" spans="2:2" x14ac:dyDescent="0.3">
      <c r="B1108" s="165"/>
    </row>
    <row r="1109" spans="2:2" x14ac:dyDescent="0.3">
      <c r="B1109" s="165"/>
    </row>
    <row r="1110" spans="2:2" x14ac:dyDescent="0.3">
      <c r="B1110" s="165"/>
    </row>
    <row r="1111" spans="2:2" x14ac:dyDescent="0.3">
      <c r="B1111" s="165"/>
    </row>
    <row r="1112" spans="2:2" x14ac:dyDescent="0.3">
      <c r="B1112" s="165"/>
    </row>
    <row r="1113" spans="2:2" x14ac:dyDescent="0.3">
      <c r="B1113" s="165"/>
    </row>
    <row r="1114" spans="2:2" x14ac:dyDescent="0.3">
      <c r="B1114" s="165"/>
    </row>
    <row r="1115" spans="2:2" x14ac:dyDescent="0.3">
      <c r="B1115" s="165"/>
    </row>
    <row r="1116" spans="2:2" x14ac:dyDescent="0.3">
      <c r="B1116" s="165"/>
    </row>
    <row r="1117" spans="2:2" x14ac:dyDescent="0.3">
      <c r="B1117" s="165"/>
    </row>
    <row r="1118" spans="2:2" x14ac:dyDescent="0.3">
      <c r="B1118" s="165"/>
    </row>
    <row r="1119" spans="2:2" x14ac:dyDescent="0.3">
      <c r="B1119" s="165"/>
    </row>
    <row r="1120" spans="2:2" x14ac:dyDescent="0.3">
      <c r="B1120" s="165"/>
    </row>
    <row r="1121" spans="2:2" x14ac:dyDescent="0.3">
      <c r="B1121" s="165"/>
    </row>
    <row r="1122" spans="2:2" x14ac:dyDescent="0.3">
      <c r="B1122" s="165"/>
    </row>
    <row r="1123" spans="2:2" x14ac:dyDescent="0.3">
      <c r="B1123" s="165"/>
    </row>
    <row r="1124" spans="2:2" x14ac:dyDescent="0.3">
      <c r="B1124" s="165"/>
    </row>
    <row r="1125" spans="2:2" x14ac:dyDescent="0.3">
      <c r="B1125" s="165"/>
    </row>
    <row r="1126" spans="2:2" x14ac:dyDescent="0.3">
      <c r="B1126" s="165"/>
    </row>
    <row r="1127" spans="2:2" x14ac:dyDescent="0.3">
      <c r="B1127" s="165"/>
    </row>
    <row r="1128" spans="2:2" x14ac:dyDescent="0.3">
      <c r="B1128" s="165"/>
    </row>
    <row r="1129" spans="2:2" x14ac:dyDescent="0.3">
      <c r="B1129" s="165"/>
    </row>
    <row r="1130" spans="2:2" x14ac:dyDescent="0.3">
      <c r="B1130" s="165"/>
    </row>
    <row r="1131" spans="2:2" x14ac:dyDescent="0.3">
      <c r="B1131" s="165"/>
    </row>
    <row r="1132" spans="2:2" x14ac:dyDescent="0.3">
      <c r="B1132" s="165"/>
    </row>
    <row r="1133" spans="2:2" x14ac:dyDescent="0.3">
      <c r="B1133" s="165"/>
    </row>
    <row r="1134" spans="2:2" x14ac:dyDescent="0.3">
      <c r="B1134" s="165"/>
    </row>
    <row r="1135" spans="2:2" x14ac:dyDescent="0.3">
      <c r="B1135" s="165"/>
    </row>
    <row r="1136" spans="2:2" x14ac:dyDescent="0.3">
      <c r="B1136" s="165"/>
    </row>
    <row r="1137" spans="2:2" x14ac:dyDescent="0.3">
      <c r="B1137" s="165"/>
    </row>
    <row r="1138" spans="2:2" x14ac:dyDescent="0.3">
      <c r="B1138" s="165"/>
    </row>
    <row r="1139" spans="2:2" x14ac:dyDescent="0.3">
      <c r="B1139" s="165"/>
    </row>
    <row r="1140" spans="2:2" x14ac:dyDescent="0.3">
      <c r="B1140" s="165"/>
    </row>
    <row r="1141" spans="2:2" x14ac:dyDescent="0.3">
      <c r="B1141" s="165"/>
    </row>
    <row r="1142" spans="2:2" x14ac:dyDescent="0.3">
      <c r="B1142" s="165"/>
    </row>
    <row r="1143" spans="2:2" x14ac:dyDescent="0.3">
      <c r="B1143" s="165"/>
    </row>
    <row r="1144" spans="2:2" x14ac:dyDescent="0.3">
      <c r="B1144" s="165"/>
    </row>
    <row r="1145" spans="2:2" x14ac:dyDescent="0.3">
      <c r="B1145" s="165"/>
    </row>
    <row r="1146" spans="2:2" x14ac:dyDescent="0.3">
      <c r="B1146" s="165"/>
    </row>
    <row r="1147" spans="2:2" x14ac:dyDescent="0.3">
      <c r="B1147" s="165"/>
    </row>
    <row r="1148" spans="2:2" x14ac:dyDescent="0.3">
      <c r="B1148" s="165"/>
    </row>
    <row r="1149" spans="2:2" x14ac:dyDescent="0.3">
      <c r="B1149" s="165"/>
    </row>
    <row r="1150" spans="2:2" x14ac:dyDescent="0.3">
      <c r="B1150" s="165"/>
    </row>
    <row r="1151" spans="2:2" x14ac:dyDescent="0.3">
      <c r="B1151" s="165"/>
    </row>
    <row r="1152" spans="2:2" x14ac:dyDescent="0.3">
      <c r="B1152" s="165"/>
    </row>
    <row r="1153" spans="2:2" x14ac:dyDescent="0.3">
      <c r="B1153" s="165"/>
    </row>
    <row r="1154" spans="2:2" x14ac:dyDescent="0.3">
      <c r="B1154" s="165"/>
    </row>
    <row r="1155" spans="2:2" x14ac:dyDescent="0.3">
      <c r="B1155" s="165"/>
    </row>
    <row r="1156" spans="2:2" x14ac:dyDescent="0.3">
      <c r="B1156" s="165"/>
    </row>
    <row r="1157" spans="2:2" x14ac:dyDescent="0.3">
      <c r="B1157" s="165"/>
    </row>
    <row r="1158" spans="2:2" x14ac:dyDescent="0.3">
      <c r="B1158" s="165"/>
    </row>
    <row r="1159" spans="2:2" x14ac:dyDescent="0.3">
      <c r="B1159" s="165"/>
    </row>
    <row r="1160" spans="2:2" x14ac:dyDescent="0.3">
      <c r="B1160" s="165"/>
    </row>
    <row r="1161" spans="2:2" x14ac:dyDescent="0.3">
      <c r="B1161" s="165"/>
    </row>
    <row r="1162" spans="2:2" x14ac:dyDescent="0.3">
      <c r="B1162" s="165"/>
    </row>
    <row r="1163" spans="2:2" x14ac:dyDescent="0.3">
      <c r="B1163" s="165"/>
    </row>
    <row r="1164" spans="2:2" x14ac:dyDescent="0.3">
      <c r="B1164" s="165"/>
    </row>
    <row r="1165" spans="2:2" x14ac:dyDescent="0.3">
      <c r="B1165" s="165"/>
    </row>
    <row r="1166" spans="2:2" x14ac:dyDescent="0.3">
      <c r="B1166" s="165"/>
    </row>
    <row r="1167" spans="2:2" x14ac:dyDescent="0.3">
      <c r="B1167" s="165"/>
    </row>
    <row r="1168" spans="2:2" x14ac:dyDescent="0.3">
      <c r="B1168" s="165"/>
    </row>
    <row r="1169" spans="2:2" x14ac:dyDescent="0.3">
      <c r="B1169" s="165"/>
    </row>
    <row r="1170" spans="2:2" x14ac:dyDescent="0.3">
      <c r="B1170" s="165"/>
    </row>
    <row r="1171" spans="2:2" x14ac:dyDescent="0.3">
      <c r="B1171" s="165"/>
    </row>
    <row r="1172" spans="2:2" x14ac:dyDescent="0.3">
      <c r="B1172" s="165"/>
    </row>
    <row r="1173" spans="2:2" x14ac:dyDescent="0.3">
      <c r="B1173" s="165"/>
    </row>
    <row r="1174" spans="2:2" x14ac:dyDescent="0.3">
      <c r="B1174" s="165"/>
    </row>
    <row r="1175" spans="2:2" x14ac:dyDescent="0.3">
      <c r="B1175" s="165"/>
    </row>
    <row r="1176" spans="2:2" x14ac:dyDescent="0.3">
      <c r="B1176" s="165"/>
    </row>
    <row r="1177" spans="2:2" x14ac:dyDescent="0.3">
      <c r="B1177" s="165"/>
    </row>
    <row r="1178" spans="2:2" x14ac:dyDescent="0.3">
      <c r="B1178" s="165"/>
    </row>
    <row r="1179" spans="2:2" x14ac:dyDescent="0.3">
      <c r="B1179" s="165"/>
    </row>
    <row r="1180" spans="2:2" x14ac:dyDescent="0.3">
      <c r="B1180" s="165"/>
    </row>
    <row r="1181" spans="2:2" x14ac:dyDescent="0.3">
      <c r="B1181" s="165"/>
    </row>
    <row r="1182" spans="2:2" x14ac:dyDescent="0.3">
      <c r="B1182" s="165"/>
    </row>
    <row r="1183" spans="2:2" x14ac:dyDescent="0.3">
      <c r="B1183" s="165"/>
    </row>
    <row r="1184" spans="2:2" x14ac:dyDescent="0.3">
      <c r="B1184" s="165"/>
    </row>
    <row r="1185" spans="2:2" x14ac:dyDescent="0.3">
      <c r="B1185" s="165"/>
    </row>
    <row r="1186" spans="2:2" x14ac:dyDescent="0.3">
      <c r="B1186" s="165"/>
    </row>
    <row r="1187" spans="2:2" x14ac:dyDescent="0.3">
      <c r="B1187" s="165"/>
    </row>
    <row r="1188" spans="2:2" x14ac:dyDescent="0.3">
      <c r="B1188" s="165"/>
    </row>
    <row r="1189" spans="2:2" x14ac:dyDescent="0.3">
      <c r="B1189" s="165"/>
    </row>
    <row r="1190" spans="2:2" x14ac:dyDescent="0.3">
      <c r="B1190" s="165"/>
    </row>
    <row r="1191" spans="2:2" x14ac:dyDescent="0.3">
      <c r="B1191" s="165"/>
    </row>
    <row r="1192" spans="2:2" x14ac:dyDescent="0.3">
      <c r="B1192" s="165"/>
    </row>
    <row r="1193" spans="2:2" x14ac:dyDescent="0.3">
      <c r="B1193" s="165"/>
    </row>
    <row r="1194" spans="2:2" x14ac:dyDescent="0.3">
      <c r="B1194" s="165"/>
    </row>
    <row r="1195" spans="2:2" x14ac:dyDescent="0.3">
      <c r="B1195" s="165"/>
    </row>
    <row r="1196" spans="2:2" x14ac:dyDescent="0.3">
      <c r="B1196" s="165"/>
    </row>
    <row r="1197" spans="2:2" x14ac:dyDescent="0.3">
      <c r="B1197" s="165"/>
    </row>
    <row r="1198" spans="2:2" x14ac:dyDescent="0.3">
      <c r="B1198" s="165"/>
    </row>
    <row r="1199" spans="2:2" x14ac:dyDescent="0.3">
      <c r="B1199" s="165"/>
    </row>
    <row r="1200" spans="2:2" x14ac:dyDescent="0.3">
      <c r="B1200" s="165"/>
    </row>
    <row r="1201" spans="2:2" x14ac:dyDescent="0.3">
      <c r="B1201" s="165"/>
    </row>
    <row r="1202" spans="2:2" x14ac:dyDescent="0.3">
      <c r="B1202" s="165"/>
    </row>
    <row r="1203" spans="2:2" x14ac:dyDescent="0.3">
      <c r="B1203" s="165"/>
    </row>
    <row r="1204" spans="2:2" x14ac:dyDescent="0.3">
      <c r="B1204" s="165"/>
    </row>
    <row r="1205" spans="2:2" x14ac:dyDescent="0.3">
      <c r="B1205" s="165"/>
    </row>
    <row r="1206" spans="2:2" x14ac:dyDescent="0.3">
      <c r="B1206" s="165"/>
    </row>
    <row r="1207" spans="2:2" x14ac:dyDescent="0.3">
      <c r="B1207" s="165"/>
    </row>
    <row r="1208" spans="2:2" x14ac:dyDescent="0.3">
      <c r="B1208" s="165"/>
    </row>
    <row r="1209" spans="2:2" x14ac:dyDescent="0.3">
      <c r="B1209" s="165"/>
    </row>
    <row r="1210" spans="2:2" x14ac:dyDescent="0.3">
      <c r="B1210" s="165"/>
    </row>
    <row r="1211" spans="2:2" x14ac:dyDescent="0.3">
      <c r="B1211" s="165"/>
    </row>
    <row r="1212" spans="2:2" x14ac:dyDescent="0.3">
      <c r="B1212" s="165"/>
    </row>
    <row r="1213" spans="2:2" x14ac:dyDescent="0.3">
      <c r="B1213" s="165"/>
    </row>
    <row r="1214" spans="2:2" x14ac:dyDescent="0.3">
      <c r="B1214" s="165"/>
    </row>
    <row r="1215" spans="2:2" x14ac:dyDescent="0.3">
      <c r="B1215" s="165"/>
    </row>
    <row r="1216" spans="2:2" x14ac:dyDescent="0.3">
      <c r="B1216" s="165"/>
    </row>
    <row r="1217" spans="2:2" x14ac:dyDescent="0.3">
      <c r="B1217" s="165"/>
    </row>
    <row r="1218" spans="2:2" x14ac:dyDescent="0.3">
      <c r="B1218" s="165"/>
    </row>
    <row r="1219" spans="2:2" x14ac:dyDescent="0.3">
      <c r="B1219" s="165"/>
    </row>
    <row r="1220" spans="2:2" x14ac:dyDescent="0.3">
      <c r="B1220" s="165"/>
    </row>
    <row r="1221" spans="2:2" x14ac:dyDescent="0.3">
      <c r="B1221" s="165"/>
    </row>
    <row r="1222" spans="2:2" x14ac:dyDescent="0.3">
      <c r="B1222" s="165"/>
    </row>
    <row r="1223" spans="2:2" x14ac:dyDescent="0.3">
      <c r="B1223" s="165"/>
    </row>
    <row r="1224" spans="2:2" x14ac:dyDescent="0.3">
      <c r="B1224" s="165"/>
    </row>
    <row r="1225" spans="2:2" x14ac:dyDescent="0.3">
      <c r="B1225" s="165"/>
    </row>
    <row r="1226" spans="2:2" x14ac:dyDescent="0.3">
      <c r="B1226" s="165"/>
    </row>
    <row r="1227" spans="2:2" x14ac:dyDescent="0.3">
      <c r="B1227" s="165"/>
    </row>
    <row r="1228" spans="2:2" x14ac:dyDescent="0.3">
      <c r="B1228" s="165"/>
    </row>
    <row r="1229" spans="2:2" x14ac:dyDescent="0.3">
      <c r="B1229" s="165"/>
    </row>
    <row r="1230" spans="2:2" x14ac:dyDescent="0.3">
      <c r="B1230" s="165"/>
    </row>
    <row r="1231" spans="2:2" x14ac:dyDescent="0.3">
      <c r="B1231" s="165"/>
    </row>
    <row r="1232" spans="2:2" x14ac:dyDescent="0.3">
      <c r="B1232" s="165"/>
    </row>
    <row r="1233" spans="2:2" x14ac:dyDescent="0.3">
      <c r="B1233" s="165"/>
    </row>
    <row r="1234" spans="2:2" x14ac:dyDescent="0.3">
      <c r="B1234" s="165"/>
    </row>
    <row r="1235" spans="2:2" x14ac:dyDescent="0.3">
      <c r="B1235" s="165"/>
    </row>
    <row r="1236" spans="2:2" x14ac:dyDescent="0.3">
      <c r="B1236" s="165"/>
    </row>
    <row r="1237" spans="2:2" x14ac:dyDescent="0.3">
      <c r="B1237" s="165"/>
    </row>
    <row r="1238" spans="2:2" x14ac:dyDescent="0.3">
      <c r="B1238" s="165"/>
    </row>
    <row r="1239" spans="2:2" x14ac:dyDescent="0.3">
      <c r="B1239" s="165"/>
    </row>
    <row r="1240" spans="2:2" x14ac:dyDescent="0.3">
      <c r="B1240" s="165"/>
    </row>
    <row r="1241" spans="2:2" x14ac:dyDescent="0.3">
      <c r="B1241" s="165"/>
    </row>
    <row r="1242" spans="2:2" x14ac:dyDescent="0.3">
      <c r="B1242" s="165"/>
    </row>
    <row r="1243" spans="2:2" x14ac:dyDescent="0.3">
      <c r="B1243" s="165"/>
    </row>
    <row r="1244" spans="2:2" x14ac:dyDescent="0.3">
      <c r="B1244" s="165"/>
    </row>
    <row r="1245" spans="2:2" x14ac:dyDescent="0.3">
      <c r="B1245" s="165"/>
    </row>
    <row r="1246" spans="2:2" x14ac:dyDescent="0.3">
      <c r="B1246" s="165"/>
    </row>
    <row r="1247" spans="2:2" x14ac:dyDescent="0.3">
      <c r="B1247" s="165"/>
    </row>
    <row r="1248" spans="2:2" x14ac:dyDescent="0.3">
      <c r="B1248" s="165"/>
    </row>
    <row r="1249" spans="2:2" x14ac:dyDescent="0.3">
      <c r="B1249" s="165"/>
    </row>
    <row r="1250" spans="2:2" x14ac:dyDescent="0.3">
      <c r="B1250" s="165"/>
    </row>
    <row r="1251" spans="2:2" x14ac:dyDescent="0.3">
      <c r="B1251" s="165"/>
    </row>
    <row r="1252" spans="2:2" x14ac:dyDescent="0.3">
      <c r="B1252" s="165"/>
    </row>
    <row r="1253" spans="2:2" x14ac:dyDescent="0.3">
      <c r="B1253" s="165"/>
    </row>
    <row r="1254" spans="2:2" x14ac:dyDescent="0.3">
      <c r="B1254" s="165"/>
    </row>
    <row r="1255" spans="2:2" x14ac:dyDescent="0.3">
      <c r="B1255" s="165"/>
    </row>
    <row r="1256" spans="2:2" x14ac:dyDescent="0.3">
      <c r="B1256" s="165"/>
    </row>
    <row r="1257" spans="2:2" x14ac:dyDescent="0.3">
      <c r="B1257" s="165"/>
    </row>
    <row r="1258" spans="2:2" x14ac:dyDescent="0.3">
      <c r="B1258" s="165"/>
    </row>
    <row r="1259" spans="2:2" x14ac:dyDescent="0.3">
      <c r="B1259" s="165"/>
    </row>
    <row r="1260" spans="2:2" x14ac:dyDescent="0.3">
      <c r="B1260" s="165"/>
    </row>
    <row r="1261" spans="2:2" x14ac:dyDescent="0.3">
      <c r="B1261" s="165"/>
    </row>
    <row r="1262" spans="2:2" x14ac:dyDescent="0.3">
      <c r="B1262" s="165"/>
    </row>
    <row r="1263" spans="2:2" x14ac:dyDescent="0.3">
      <c r="B1263" s="165"/>
    </row>
    <row r="1264" spans="2:2" x14ac:dyDescent="0.3">
      <c r="B1264" s="165"/>
    </row>
    <row r="1265" spans="2:2" x14ac:dyDescent="0.3">
      <c r="B1265" s="165"/>
    </row>
    <row r="1266" spans="2:2" x14ac:dyDescent="0.3">
      <c r="B1266" s="165"/>
    </row>
    <row r="1267" spans="2:2" x14ac:dyDescent="0.3">
      <c r="B1267" s="165"/>
    </row>
    <row r="1268" spans="2:2" x14ac:dyDescent="0.3">
      <c r="B1268" s="165"/>
    </row>
    <row r="1269" spans="2:2" x14ac:dyDescent="0.3">
      <c r="B1269" s="165"/>
    </row>
    <row r="1270" spans="2:2" x14ac:dyDescent="0.3">
      <c r="B1270" s="165"/>
    </row>
    <row r="1271" spans="2:2" x14ac:dyDescent="0.3">
      <c r="B1271" s="165"/>
    </row>
    <row r="1272" spans="2:2" x14ac:dyDescent="0.3">
      <c r="B1272" s="165"/>
    </row>
    <row r="1273" spans="2:2" x14ac:dyDescent="0.3">
      <c r="B1273" s="165"/>
    </row>
    <row r="1274" spans="2:2" x14ac:dyDescent="0.3">
      <c r="B1274" s="165"/>
    </row>
    <row r="1275" spans="2:2" x14ac:dyDescent="0.3">
      <c r="B1275" s="165"/>
    </row>
    <row r="1276" spans="2:2" x14ac:dyDescent="0.3">
      <c r="B1276" s="165"/>
    </row>
    <row r="1277" spans="2:2" x14ac:dyDescent="0.3">
      <c r="B1277" s="165"/>
    </row>
    <row r="1278" spans="2:2" x14ac:dyDescent="0.3">
      <c r="B1278" s="165"/>
    </row>
    <row r="1279" spans="2:2" x14ac:dyDescent="0.3">
      <c r="B1279" s="165"/>
    </row>
    <row r="1280" spans="2:2" x14ac:dyDescent="0.3">
      <c r="B1280" s="165"/>
    </row>
    <row r="1281" spans="2:2" x14ac:dyDescent="0.3">
      <c r="B1281" s="165"/>
    </row>
    <row r="1282" spans="2:2" x14ac:dyDescent="0.3">
      <c r="B1282" s="165"/>
    </row>
    <row r="1283" spans="2:2" x14ac:dyDescent="0.3">
      <c r="B1283" s="165"/>
    </row>
    <row r="1284" spans="2:2" x14ac:dyDescent="0.3">
      <c r="B1284" s="165"/>
    </row>
    <row r="1285" spans="2:2" x14ac:dyDescent="0.3">
      <c r="B1285" s="165"/>
    </row>
    <row r="1286" spans="2:2" x14ac:dyDescent="0.3">
      <c r="B1286" s="165"/>
    </row>
    <row r="1287" spans="2:2" x14ac:dyDescent="0.3">
      <c r="B1287" s="165"/>
    </row>
    <row r="1288" spans="2:2" x14ac:dyDescent="0.3">
      <c r="B1288" s="165"/>
    </row>
    <row r="1289" spans="2:2" x14ac:dyDescent="0.3">
      <c r="B1289" s="165"/>
    </row>
    <row r="1290" spans="2:2" x14ac:dyDescent="0.3">
      <c r="B1290" s="165"/>
    </row>
    <row r="1291" spans="2:2" x14ac:dyDescent="0.3">
      <c r="B1291" s="165"/>
    </row>
    <row r="1292" spans="2:2" x14ac:dyDescent="0.3">
      <c r="B1292" s="165"/>
    </row>
    <row r="1293" spans="2:2" x14ac:dyDescent="0.3">
      <c r="B1293" s="165"/>
    </row>
    <row r="1294" spans="2:2" x14ac:dyDescent="0.3">
      <c r="B1294" s="165"/>
    </row>
    <row r="1295" spans="2:2" x14ac:dyDescent="0.3">
      <c r="B1295" s="165"/>
    </row>
    <row r="1296" spans="2:2" x14ac:dyDescent="0.3">
      <c r="B1296" s="165"/>
    </row>
    <row r="1297" spans="2:2" x14ac:dyDescent="0.3">
      <c r="B1297" s="165"/>
    </row>
    <row r="1298" spans="2:2" x14ac:dyDescent="0.3">
      <c r="B1298" s="165"/>
    </row>
    <row r="1299" spans="2:2" x14ac:dyDescent="0.3">
      <c r="B1299" s="165"/>
    </row>
    <row r="1300" spans="2:2" x14ac:dyDescent="0.3">
      <c r="B1300" s="165"/>
    </row>
    <row r="1301" spans="2:2" x14ac:dyDescent="0.3">
      <c r="B1301" s="165"/>
    </row>
    <row r="1302" spans="2:2" x14ac:dyDescent="0.3">
      <c r="B1302" s="165"/>
    </row>
    <row r="1303" spans="2:2" x14ac:dyDescent="0.3">
      <c r="B1303" s="165"/>
    </row>
    <row r="1304" spans="2:2" x14ac:dyDescent="0.3">
      <c r="B1304" s="165"/>
    </row>
    <row r="1305" spans="2:2" x14ac:dyDescent="0.3">
      <c r="B1305" s="165"/>
    </row>
    <row r="1306" spans="2:2" x14ac:dyDescent="0.3">
      <c r="B1306" s="165"/>
    </row>
    <row r="1307" spans="2:2" x14ac:dyDescent="0.3">
      <c r="B1307" s="165"/>
    </row>
    <row r="1308" spans="2:2" x14ac:dyDescent="0.3">
      <c r="B1308" s="165"/>
    </row>
    <row r="1309" spans="2:2" x14ac:dyDescent="0.3">
      <c r="B1309" s="165"/>
    </row>
    <row r="1310" spans="2:2" x14ac:dyDescent="0.3">
      <c r="B1310" s="165"/>
    </row>
    <row r="1311" spans="2:2" x14ac:dyDescent="0.3">
      <c r="B1311" s="165"/>
    </row>
    <row r="1312" spans="2:2" x14ac:dyDescent="0.3">
      <c r="B1312" s="165"/>
    </row>
    <row r="1313" spans="2:2" x14ac:dyDescent="0.3">
      <c r="B1313" s="165"/>
    </row>
    <row r="1314" spans="2:2" x14ac:dyDescent="0.3">
      <c r="B1314" s="165"/>
    </row>
    <row r="1315" spans="2:2" x14ac:dyDescent="0.3">
      <c r="B1315" s="165"/>
    </row>
    <row r="1316" spans="2:2" x14ac:dyDescent="0.3">
      <c r="B1316" s="165"/>
    </row>
    <row r="1317" spans="2:2" x14ac:dyDescent="0.3">
      <c r="B1317" s="165"/>
    </row>
    <row r="1318" spans="2:2" x14ac:dyDescent="0.3">
      <c r="B1318" s="165"/>
    </row>
    <row r="1319" spans="2:2" x14ac:dyDescent="0.3">
      <c r="B1319" s="165"/>
    </row>
    <row r="1320" spans="2:2" x14ac:dyDescent="0.3">
      <c r="B1320" s="165"/>
    </row>
    <row r="1321" spans="2:2" x14ac:dyDescent="0.3">
      <c r="B1321" s="165"/>
    </row>
    <row r="1322" spans="2:2" x14ac:dyDescent="0.3">
      <c r="B1322" s="165"/>
    </row>
    <row r="1323" spans="2:2" x14ac:dyDescent="0.3">
      <c r="B1323" s="165"/>
    </row>
    <row r="1324" spans="2:2" x14ac:dyDescent="0.3">
      <c r="B1324" s="165"/>
    </row>
    <row r="1325" spans="2:2" x14ac:dyDescent="0.3">
      <c r="B1325" s="165"/>
    </row>
    <row r="1326" spans="2:2" x14ac:dyDescent="0.3">
      <c r="B1326" s="165"/>
    </row>
    <row r="1327" spans="2:2" x14ac:dyDescent="0.3">
      <c r="B1327" s="165"/>
    </row>
    <row r="1328" spans="2:2" x14ac:dyDescent="0.3">
      <c r="B1328" s="165"/>
    </row>
    <row r="1329" spans="2:2" x14ac:dyDescent="0.3">
      <c r="B1329" s="165"/>
    </row>
    <row r="1330" spans="2:2" x14ac:dyDescent="0.3">
      <c r="B1330" s="165"/>
    </row>
    <row r="1331" spans="2:2" x14ac:dyDescent="0.3">
      <c r="B1331" s="165"/>
    </row>
    <row r="1332" spans="2:2" x14ac:dyDescent="0.3">
      <c r="B1332" s="165"/>
    </row>
    <row r="1333" spans="2:2" x14ac:dyDescent="0.3">
      <c r="B1333" s="165"/>
    </row>
    <row r="1334" spans="2:2" x14ac:dyDescent="0.3">
      <c r="B1334" s="165"/>
    </row>
    <row r="1335" spans="2:2" x14ac:dyDescent="0.3">
      <c r="B1335" s="165"/>
    </row>
    <row r="1336" spans="2:2" x14ac:dyDescent="0.3">
      <c r="B1336" s="165"/>
    </row>
    <row r="1337" spans="2:2" x14ac:dyDescent="0.3">
      <c r="B1337" s="165"/>
    </row>
    <row r="1338" spans="2:2" x14ac:dyDescent="0.3">
      <c r="B1338" s="165"/>
    </row>
    <row r="1339" spans="2:2" x14ac:dyDescent="0.3">
      <c r="B1339" s="165"/>
    </row>
    <row r="1340" spans="2:2" x14ac:dyDescent="0.3">
      <c r="B1340" s="165"/>
    </row>
    <row r="1341" spans="2:2" x14ac:dyDescent="0.3">
      <c r="B1341" s="165"/>
    </row>
    <row r="1342" spans="2:2" x14ac:dyDescent="0.3">
      <c r="B1342" s="165"/>
    </row>
    <row r="1343" spans="2:2" x14ac:dyDescent="0.3">
      <c r="B1343" s="165"/>
    </row>
    <row r="1344" spans="2:2" x14ac:dyDescent="0.3">
      <c r="B1344" s="165"/>
    </row>
    <row r="1345" spans="2:2" x14ac:dyDescent="0.3">
      <c r="B1345" s="165"/>
    </row>
    <row r="1346" spans="2:2" x14ac:dyDescent="0.3">
      <c r="B1346" s="165"/>
    </row>
    <row r="1347" spans="2:2" x14ac:dyDescent="0.3">
      <c r="B1347" s="165"/>
    </row>
    <row r="1348" spans="2:2" x14ac:dyDescent="0.3">
      <c r="B1348" s="165"/>
    </row>
    <row r="1349" spans="2:2" x14ac:dyDescent="0.3">
      <c r="B1349" s="165"/>
    </row>
    <row r="1350" spans="2:2" x14ac:dyDescent="0.3">
      <c r="B1350" s="165"/>
    </row>
    <row r="1351" spans="2:2" x14ac:dyDescent="0.3">
      <c r="B1351" s="165"/>
    </row>
    <row r="1352" spans="2:2" x14ac:dyDescent="0.3">
      <c r="B1352" s="165"/>
    </row>
    <row r="1353" spans="2:2" x14ac:dyDescent="0.3">
      <c r="B1353" s="165"/>
    </row>
    <row r="1354" spans="2:2" x14ac:dyDescent="0.3">
      <c r="B1354" s="165"/>
    </row>
    <row r="1355" spans="2:2" x14ac:dyDescent="0.3">
      <c r="B1355" s="165"/>
    </row>
    <row r="1356" spans="2:2" x14ac:dyDescent="0.3">
      <c r="B1356" s="165"/>
    </row>
    <row r="1357" spans="2:2" x14ac:dyDescent="0.3">
      <c r="B1357" s="165"/>
    </row>
    <row r="1358" spans="2:2" x14ac:dyDescent="0.3">
      <c r="B1358" s="165"/>
    </row>
    <row r="1359" spans="2:2" x14ac:dyDescent="0.3">
      <c r="B1359" s="165"/>
    </row>
    <row r="1360" spans="2:2" x14ac:dyDescent="0.3">
      <c r="B1360" s="165"/>
    </row>
    <row r="1361" spans="2:2" x14ac:dyDescent="0.3">
      <c r="B1361" s="165"/>
    </row>
    <row r="1362" spans="2:2" x14ac:dyDescent="0.3">
      <c r="B1362" s="165"/>
    </row>
    <row r="1363" spans="2:2" x14ac:dyDescent="0.3">
      <c r="B1363" s="165"/>
    </row>
    <row r="1364" spans="2:2" x14ac:dyDescent="0.3">
      <c r="B1364" s="165"/>
    </row>
    <row r="1365" spans="2:2" x14ac:dyDescent="0.3">
      <c r="B1365" s="165"/>
    </row>
    <row r="1366" spans="2:2" x14ac:dyDescent="0.3">
      <c r="B1366" s="165"/>
    </row>
    <row r="1367" spans="2:2" x14ac:dyDescent="0.3">
      <c r="B1367" s="165"/>
    </row>
    <row r="1368" spans="2:2" x14ac:dyDescent="0.3">
      <c r="B1368" s="165"/>
    </row>
    <row r="1369" spans="2:2" x14ac:dyDescent="0.3">
      <c r="B1369" s="165"/>
    </row>
    <row r="1370" spans="2:2" x14ac:dyDescent="0.3">
      <c r="B1370" s="165"/>
    </row>
    <row r="1371" spans="2:2" x14ac:dyDescent="0.3">
      <c r="B1371" s="165"/>
    </row>
    <row r="1372" spans="2:2" x14ac:dyDescent="0.3">
      <c r="B1372" s="165"/>
    </row>
    <row r="1373" spans="2:2" x14ac:dyDescent="0.3">
      <c r="B1373" s="165"/>
    </row>
    <row r="1374" spans="2:2" x14ac:dyDescent="0.3">
      <c r="B1374" s="165"/>
    </row>
    <row r="1375" spans="2:2" x14ac:dyDescent="0.3">
      <c r="B1375" s="165"/>
    </row>
    <row r="1376" spans="2:2" x14ac:dyDescent="0.3">
      <c r="B1376" s="165"/>
    </row>
    <row r="1377" spans="2:2" x14ac:dyDescent="0.3">
      <c r="B1377" s="165"/>
    </row>
    <row r="1378" spans="2:2" x14ac:dyDescent="0.3">
      <c r="B1378" s="165"/>
    </row>
    <row r="1379" spans="2:2" x14ac:dyDescent="0.3">
      <c r="B1379" s="165"/>
    </row>
    <row r="1380" spans="2:2" x14ac:dyDescent="0.3">
      <c r="B1380" s="165"/>
    </row>
    <row r="1381" spans="2:2" x14ac:dyDescent="0.3">
      <c r="B1381" s="165"/>
    </row>
    <row r="1382" spans="2:2" x14ac:dyDescent="0.3">
      <c r="B1382" s="165"/>
    </row>
    <row r="1383" spans="2:2" x14ac:dyDescent="0.3">
      <c r="B1383" s="165"/>
    </row>
    <row r="1384" spans="2:2" x14ac:dyDescent="0.3">
      <c r="B1384" s="165"/>
    </row>
    <row r="1385" spans="2:2" x14ac:dyDescent="0.3">
      <c r="B1385" s="165"/>
    </row>
    <row r="1386" spans="2:2" x14ac:dyDescent="0.3">
      <c r="B1386" s="165"/>
    </row>
    <row r="1387" spans="2:2" x14ac:dyDescent="0.3">
      <c r="B1387" s="165"/>
    </row>
    <row r="1388" spans="2:2" x14ac:dyDescent="0.3">
      <c r="B1388" s="165"/>
    </row>
    <row r="1389" spans="2:2" x14ac:dyDescent="0.3">
      <c r="B1389" s="165"/>
    </row>
    <row r="1390" spans="2:2" x14ac:dyDescent="0.3">
      <c r="B1390" s="165"/>
    </row>
    <row r="1391" spans="2:2" x14ac:dyDescent="0.3">
      <c r="B1391" s="165"/>
    </row>
    <row r="1392" spans="2:2" x14ac:dyDescent="0.3">
      <c r="B1392" s="165"/>
    </row>
    <row r="1393" spans="2:2" x14ac:dyDescent="0.3">
      <c r="B1393" s="165"/>
    </row>
    <row r="1394" spans="2:2" x14ac:dyDescent="0.3">
      <c r="B1394" s="165"/>
    </row>
    <row r="1395" spans="2:2" x14ac:dyDescent="0.3">
      <c r="B1395" s="165"/>
    </row>
    <row r="1396" spans="2:2" x14ac:dyDescent="0.3">
      <c r="B1396" s="165"/>
    </row>
    <row r="1397" spans="2:2" x14ac:dyDescent="0.3">
      <c r="B1397" s="165"/>
    </row>
    <row r="1398" spans="2:2" x14ac:dyDescent="0.3">
      <c r="B1398" s="165"/>
    </row>
    <row r="1399" spans="2:2" x14ac:dyDescent="0.3">
      <c r="B1399" s="165"/>
    </row>
    <row r="1400" spans="2:2" x14ac:dyDescent="0.3">
      <c r="B1400" s="165"/>
    </row>
    <row r="1401" spans="2:2" x14ac:dyDescent="0.3">
      <c r="B1401" s="165"/>
    </row>
    <row r="1402" spans="2:2" x14ac:dyDescent="0.3">
      <c r="B1402" s="165"/>
    </row>
    <row r="1403" spans="2:2" x14ac:dyDescent="0.3">
      <c r="B1403" s="165"/>
    </row>
    <row r="1404" spans="2:2" x14ac:dyDescent="0.3">
      <c r="B1404" s="165"/>
    </row>
    <row r="1405" spans="2:2" x14ac:dyDescent="0.3">
      <c r="B1405" s="165"/>
    </row>
    <row r="1406" spans="2:2" x14ac:dyDescent="0.3">
      <c r="B1406" s="165"/>
    </row>
    <row r="1407" spans="2:2" x14ac:dyDescent="0.3">
      <c r="B1407" s="165"/>
    </row>
    <row r="1408" spans="2:2" x14ac:dyDescent="0.3">
      <c r="B1408" s="165"/>
    </row>
    <row r="1409" spans="2:2" x14ac:dyDescent="0.3">
      <c r="B1409" s="165"/>
    </row>
    <row r="1410" spans="2:2" x14ac:dyDescent="0.3">
      <c r="B1410" s="165"/>
    </row>
    <row r="1411" spans="2:2" x14ac:dyDescent="0.3">
      <c r="B1411" s="165"/>
    </row>
    <row r="1412" spans="2:2" x14ac:dyDescent="0.3">
      <c r="B1412" s="165"/>
    </row>
    <row r="1413" spans="2:2" x14ac:dyDescent="0.3">
      <c r="B1413" s="165"/>
    </row>
    <row r="1414" spans="2:2" x14ac:dyDescent="0.3">
      <c r="B1414" s="165"/>
    </row>
    <row r="1415" spans="2:2" x14ac:dyDescent="0.3">
      <c r="B1415" s="165"/>
    </row>
    <row r="1416" spans="2:2" x14ac:dyDescent="0.3">
      <c r="B1416" s="165"/>
    </row>
    <row r="1417" spans="2:2" x14ac:dyDescent="0.3">
      <c r="B1417" s="165"/>
    </row>
    <row r="1418" spans="2:2" x14ac:dyDescent="0.3">
      <c r="B1418" s="165"/>
    </row>
    <row r="1419" spans="2:2" x14ac:dyDescent="0.3">
      <c r="B1419" s="165"/>
    </row>
    <row r="1420" spans="2:2" x14ac:dyDescent="0.3">
      <c r="B1420" s="165"/>
    </row>
    <row r="1421" spans="2:2" x14ac:dyDescent="0.3">
      <c r="B1421" s="165"/>
    </row>
    <row r="1422" spans="2:2" x14ac:dyDescent="0.3">
      <c r="B1422" s="165"/>
    </row>
    <row r="1423" spans="2:2" x14ac:dyDescent="0.3">
      <c r="B1423" s="165"/>
    </row>
    <row r="1424" spans="2:2" x14ac:dyDescent="0.3">
      <c r="B1424" s="165"/>
    </row>
    <row r="1425" spans="2:2" x14ac:dyDescent="0.3">
      <c r="B1425" s="165"/>
    </row>
    <row r="1426" spans="2:2" x14ac:dyDescent="0.3">
      <c r="B1426" s="165"/>
    </row>
    <row r="1427" spans="2:2" x14ac:dyDescent="0.3">
      <c r="B1427" s="165"/>
    </row>
    <row r="1428" spans="2:2" x14ac:dyDescent="0.3">
      <c r="B1428" s="165"/>
    </row>
    <row r="1429" spans="2:2" x14ac:dyDescent="0.3">
      <c r="B1429" s="165"/>
    </row>
    <row r="1430" spans="2:2" x14ac:dyDescent="0.3">
      <c r="B1430" s="165"/>
    </row>
    <row r="1431" spans="2:2" x14ac:dyDescent="0.3">
      <c r="B1431" s="165"/>
    </row>
    <row r="1432" spans="2:2" x14ac:dyDescent="0.3">
      <c r="B1432" s="165"/>
    </row>
    <row r="1433" spans="2:2" x14ac:dyDescent="0.3">
      <c r="B1433" s="165"/>
    </row>
    <row r="1434" spans="2:2" x14ac:dyDescent="0.3">
      <c r="B1434" s="165"/>
    </row>
    <row r="1435" spans="2:2" x14ac:dyDescent="0.3">
      <c r="B1435" s="165"/>
    </row>
    <row r="1436" spans="2:2" x14ac:dyDescent="0.3">
      <c r="B1436" s="165"/>
    </row>
    <row r="1437" spans="2:2" x14ac:dyDescent="0.3">
      <c r="B1437" s="165"/>
    </row>
    <row r="1438" spans="2:2" x14ac:dyDescent="0.3">
      <c r="B1438" s="165"/>
    </row>
    <row r="1439" spans="2:2" x14ac:dyDescent="0.3">
      <c r="B1439" s="165"/>
    </row>
    <row r="1440" spans="2:2" x14ac:dyDescent="0.3">
      <c r="B1440" s="165"/>
    </row>
    <row r="1441" spans="2:2" x14ac:dyDescent="0.3">
      <c r="B1441" s="165"/>
    </row>
    <row r="1442" spans="2:2" x14ac:dyDescent="0.3">
      <c r="B1442" s="165"/>
    </row>
    <row r="1443" spans="2:2" x14ac:dyDescent="0.3">
      <c r="B1443" s="165"/>
    </row>
    <row r="1444" spans="2:2" x14ac:dyDescent="0.3">
      <c r="B1444" s="165"/>
    </row>
    <row r="1445" spans="2:2" x14ac:dyDescent="0.3">
      <c r="B1445" s="165"/>
    </row>
    <row r="1446" spans="2:2" x14ac:dyDescent="0.3">
      <c r="B1446" s="165"/>
    </row>
    <row r="1447" spans="2:2" x14ac:dyDescent="0.3">
      <c r="B1447" s="165"/>
    </row>
    <row r="1448" spans="2:2" x14ac:dyDescent="0.3">
      <c r="B1448" s="165"/>
    </row>
    <row r="1449" spans="2:2" x14ac:dyDescent="0.3">
      <c r="B1449" s="165"/>
    </row>
    <row r="1450" spans="2:2" x14ac:dyDescent="0.3">
      <c r="B1450" s="165"/>
    </row>
    <row r="1451" spans="2:2" x14ac:dyDescent="0.3">
      <c r="B1451" s="165"/>
    </row>
    <row r="1452" spans="2:2" x14ac:dyDescent="0.3">
      <c r="B1452" s="165"/>
    </row>
    <row r="1453" spans="2:2" x14ac:dyDescent="0.3">
      <c r="B1453" s="165"/>
    </row>
    <row r="1454" spans="2:2" x14ac:dyDescent="0.3">
      <c r="B1454" s="165"/>
    </row>
    <row r="1455" spans="2:2" x14ac:dyDescent="0.3">
      <c r="B1455" s="165"/>
    </row>
    <row r="1456" spans="2:2" x14ac:dyDescent="0.3">
      <c r="B1456" s="165"/>
    </row>
    <row r="1457" spans="2:2" x14ac:dyDescent="0.3">
      <c r="B1457" s="165"/>
    </row>
    <row r="1458" spans="2:2" x14ac:dyDescent="0.3">
      <c r="B1458" s="165"/>
    </row>
    <row r="1459" spans="2:2" x14ac:dyDescent="0.3">
      <c r="B1459" s="165"/>
    </row>
    <row r="1460" spans="2:2" x14ac:dyDescent="0.3">
      <c r="B1460" s="165"/>
    </row>
    <row r="1461" spans="2:2" x14ac:dyDescent="0.3">
      <c r="B1461" s="165"/>
    </row>
    <row r="1462" spans="2:2" x14ac:dyDescent="0.3">
      <c r="B1462" s="165"/>
    </row>
    <row r="1463" spans="2:2" x14ac:dyDescent="0.3">
      <c r="B1463" s="165"/>
    </row>
    <row r="1464" spans="2:2" x14ac:dyDescent="0.3">
      <c r="B1464" s="165"/>
    </row>
    <row r="1465" spans="2:2" x14ac:dyDescent="0.3">
      <c r="B1465" s="165"/>
    </row>
    <row r="1466" spans="2:2" x14ac:dyDescent="0.3">
      <c r="B1466" s="165"/>
    </row>
    <row r="1467" spans="2:2" x14ac:dyDescent="0.3">
      <c r="B1467" s="165"/>
    </row>
    <row r="1468" spans="2:2" x14ac:dyDescent="0.3">
      <c r="B1468" s="165"/>
    </row>
    <row r="1469" spans="2:2" x14ac:dyDescent="0.3">
      <c r="B1469" s="165"/>
    </row>
    <row r="1470" spans="2:2" x14ac:dyDescent="0.3">
      <c r="B1470" s="165"/>
    </row>
    <row r="1471" spans="2:2" x14ac:dyDescent="0.3">
      <c r="B1471" s="165"/>
    </row>
    <row r="1472" spans="2:2" x14ac:dyDescent="0.3">
      <c r="B1472" s="165"/>
    </row>
    <row r="1473" spans="2:2" x14ac:dyDescent="0.3">
      <c r="B1473" s="165"/>
    </row>
    <row r="1474" spans="2:2" x14ac:dyDescent="0.3">
      <c r="B1474" s="165"/>
    </row>
    <row r="1475" spans="2:2" x14ac:dyDescent="0.3">
      <c r="B1475" s="165"/>
    </row>
    <row r="1476" spans="2:2" x14ac:dyDescent="0.3">
      <c r="B1476" s="165"/>
    </row>
    <row r="1477" spans="2:2" x14ac:dyDescent="0.3">
      <c r="B1477" s="165"/>
    </row>
    <row r="1478" spans="2:2" x14ac:dyDescent="0.3">
      <c r="B1478" s="165"/>
    </row>
    <row r="1479" spans="2:2" x14ac:dyDescent="0.3">
      <c r="B1479" s="165"/>
    </row>
    <row r="1480" spans="2:2" x14ac:dyDescent="0.3">
      <c r="B1480" s="165"/>
    </row>
    <row r="1481" spans="2:2" x14ac:dyDescent="0.3">
      <c r="B1481" s="165"/>
    </row>
    <row r="1482" spans="2:2" x14ac:dyDescent="0.3">
      <c r="B1482" s="165"/>
    </row>
    <row r="1483" spans="2:2" x14ac:dyDescent="0.3">
      <c r="B1483" s="165"/>
    </row>
    <row r="1484" spans="2:2" x14ac:dyDescent="0.3">
      <c r="B1484" s="165"/>
    </row>
    <row r="1485" spans="2:2" x14ac:dyDescent="0.3">
      <c r="B1485" s="165"/>
    </row>
    <row r="1486" spans="2:2" x14ac:dyDescent="0.3">
      <c r="B1486" s="165"/>
    </row>
    <row r="1487" spans="2:2" x14ac:dyDescent="0.3">
      <c r="B1487" s="165"/>
    </row>
    <row r="1488" spans="2:2" x14ac:dyDescent="0.3">
      <c r="B1488" s="165"/>
    </row>
    <row r="1489" spans="2:2" x14ac:dyDescent="0.3">
      <c r="B1489" s="165"/>
    </row>
    <row r="1490" spans="2:2" x14ac:dyDescent="0.3">
      <c r="B1490" s="165"/>
    </row>
    <row r="1491" spans="2:2" x14ac:dyDescent="0.3">
      <c r="B1491" s="165"/>
    </row>
    <row r="1492" spans="2:2" x14ac:dyDescent="0.3">
      <c r="B1492" s="165"/>
    </row>
    <row r="1493" spans="2:2" x14ac:dyDescent="0.3">
      <c r="B1493" s="165"/>
    </row>
    <row r="1494" spans="2:2" x14ac:dyDescent="0.3">
      <c r="B1494" s="165"/>
    </row>
    <row r="1495" spans="2:2" x14ac:dyDescent="0.3">
      <c r="B1495" s="165"/>
    </row>
    <row r="1496" spans="2:2" x14ac:dyDescent="0.3">
      <c r="B1496" s="165"/>
    </row>
    <row r="1497" spans="2:2" x14ac:dyDescent="0.3">
      <c r="B1497" s="165"/>
    </row>
    <row r="1498" spans="2:2" x14ac:dyDescent="0.3">
      <c r="B1498" s="165"/>
    </row>
    <row r="1499" spans="2:2" x14ac:dyDescent="0.3">
      <c r="B1499" s="165"/>
    </row>
    <row r="1500" spans="2:2" x14ac:dyDescent="0.3">
      <c r="B1500" s="165"/>
    </row>
    <row r="1501" spans="2:2" x14ac:dyDescent="0.3">
      <c r="B1501" s="165"/>
    </row>
    <row r="1502" spans="2:2" x14ac:dyDescent="0.3">
      <c r="B1502" s="165"/>
    </row>
    <row r="1503" spans="2:2" x14ac:dyDescent="0.3">
      <c r="B1503" s="165"/>
    </row>
    <row r="1504" spans="2:2" x14ac:dyDescent="0.3">
      <c r="B1504" s="165"/>
    </row>
    <row r="1505" spans="2:2" x14ac:dyDescent="0.3">
      <c r="B1505" s="165"/>
    </row>
    <row r="1506" spans="2:2" x14ac:dyDescent="0.3">
      <c r="B1506" s="165"/>
    </row>
    <row r="1507" spans="2:2" x14ac:dyDescent="0.3">
      <c r="B1507" s="165"/>
    </row>
    <row r="1508" spans="2:2" x14ac:dyDescent="0.3">
      <c r="B1508" s="165"/>
    </row>
    <row r="1509" spans="2:2" x14ac:dyDescent="0.3">
      <c r="B1509" s="165"/>
    </row>
    <row r="1510" spans="2:2" x14ac:dyDescent="0.3">
      <c r="B1510" s="165"/>
    </row>
    <row r="1511" spans="2:2" x14ac:dyDescent="0.3">
      <c r="B1511" s="165"/>
    </row>
    <row r="1512" spans="2:2" x14ac:dyDescent="0.3">
      <c r="B1512" s="165"/>
    </row>
    <row r="1513" spans="2:2" x14ac:dyDescent="0.3">
      <c r="B1513" s="165"/>
    </row>
    <row r="1514" spans="2:2" x14ac:dyDescent="0.3">
      <c r="B1514" s="165"/>
    </row>
    <row r="1515" spans="2:2" x14ac:dyDescent="0.3">
      <c r="B1515" s="165"/>
    </row>
    <row r="1516" spans="2:2" x14ac:dyDescent="0.3">
      <c r="B1516" s="165"/>
    </row>
    <row r="1517" spans="2:2" x14ac:dyDescent="0.3">
      <c r="B1517" s="165"/>
    </row>
    <row r="1518" spans="2:2" x14ac:dyDescent="0.3">
      <c r="B1518" s="165"/>
    </row>
    <row r="1519" spans="2:2" x14ac:dyDescent="0.3">
      <c r="B1519" s="165"/>
    </row>
    <row r="1520" spans="2:2" x14ac:dyDescent="0.3">
      <c r="B1520" s="165"/>
    </row>
    <row r="1521" spans="2:2" x14ac:dyDescent="0.3">
      <c r="B1521" s="165"/>
    </row>
    <row r="1522" spans="2:2" x14ac:dyDescent="0.3">
      <c r="B1522" s="165"/>
    </row>
    <row r="1523" spans="2:2" x14ac:dyDescent="0.3">
      <c r="B1523" s="165"/>
    </row>
    <row r="1524" spans="2:2" x14ac:dyDescent="0.3">
      <c r="B1524" s="165"/>
    </row>
    <row r="1525" spans="2:2" x14ac:dyDescent="0.3">
      <c r="B1525" s="165"/>
    </row>
    <row r="1526" spans="2:2" x14ac:dyDescent="0.3">
      <c r="B1526" s="165"/>
    </row>
    <row r="1527" spans="2:2" x14ac:dyDescent="0.3">
      <c r="B1527" s="165"/>
    </row>
    <row r="1528" spans="2:2" x14ac:dyDescent="0.3">
      <c r="B1528" s="165"/>
    </row>
    <row r="1529" spans="2:2" x14ac:dyDescent="0.3">
      <c r="B1529" s="165"/>
    </row>
    <row r="1530" spans="2:2" x14ac:dyDescent="0.3">
      <c r="B1530" s="165"/>
    </row>
    <row r="1531" spans="2:2" x14ac:dyDescent="0.3">
      <c r="B1531" s="165"/>
    </row>
    <row r="1532" spans="2:2" x14ac:dyDescent="0.3">
      <c r="B1532" s="165"/>
    </row>
    <row r="1533" spans="2:2" x14ac:dyDescent="0.3">
      <c r="B1533" s="165"/>
    </row>
    <row r="1534" spans="2:2" x14ac:dyDescent="0.3">
      <c r="B1534" s="165"/>
    </row>
    <row r="1535" spans="2:2" x14ac:dyDescent="0.3">
      <c r="B1535" s="165"/>
    </row>
    <row r="1536" spans="2:2" x14ac:dyDescent="0.3">
      <c r="B1536" s="165"/>
    </row>
    <row r="1537" spans="2:2" x14ac:dyDescent="0.3">
      <c r="B1537" s="165"/>
    </row>
    <row r="1538" spans="2:2" x14ac:dyDescent="0.3">
      <c r="B1538" s="165"/>
    </row>
    <row r="1539" spans="2:2" x14ac:dyDescent="0.3">
      <c r="B1539" s="165"/>
    </row>
    <row r="1540" spans="2:2" x14ac:dyDescent="0.3">
      <c r="B1540" s="165"/>
    </row>
    <row r="1541" spans="2:2" x14ac:dyDescent="0.3">
      <c r="B1541" s="165"/>
    </row>
    <row r="1542" spans="2:2" x14ac:dyDescent="0.3">
      <c r="B1542" s="165"/>
    </row>
    <row r="1543" spans="2:2" x14ac:dyDescent="0.3">
      <c r="B1543" s="165"/>
    </row>
    <row r="1544" spans="2:2" x14ac:dyDescent="0.3">
      <c r="B1544" s="165"/>
    </row>
    <row r="1545" spans="2:2" x14ac:dyDescent="0.3">
      <c r="B1545" s="165"/>
    </row>
    <row r="1546" spans="2:2" x14ac:dyDescent="0.3">
      <c r="B1546" s="165"/>
    </row>
    <row r="1547" spans="2:2" x14ac:dyDescent="0.3">
      <c r="B1547" s="165"/>
    </row>
    <row r="1548" spans="2:2" x14ac:dyDescent="0.3">
      <c r="B1548" s="165"/>
    </row>
    <row r="1549" spans="2:2" x14ac:dyDescent="0.3">
      <c r="B1549" s="165"/>
    </row>
    <row r="1550" spans="2:2" x14ac:dyDescent="0.3">
      <c r="B1550" s="165"/>
    </row>
    <row r="1551" spans="2:2" x14ac:dyDescent="0.3">
      <c r="B1551" s="165"/>
    </row>
    <row r="1552" spans="2:2" x14ac:dyDescent="0.3">
      <c r="B1552" s="165"/>
    </row>
    <row r="1553" spans="2:2" x14ac:dyDescent="0.3">
      <c r="B1553" s="165"/>
    </row>
    <row r="1554" spans="2:2" x14ac:dyDescent="0.3">
      <c r="B1554" s="165"/>
    </row>
    <row r="1555" spans="2:2" x14ac:dyDescent="0.3">
      <c r="B1555" s="165"/>
    </row>
    <row r="1556" spans="2:2" x14ac:dyDescent="0.3">
      <c r="B1556" s="165"/>
    </row>
    <row r="1557" spans="2:2" x14ac:dyDescent="0.3">
      <c r="B1557" s="165"/>
    </row>
    <row r="1558" spans="2:2" x14ac:dyDescent="0.3">
      <c r="B1558" s="165"/>
    </row>
    <row r="1559" spans="2:2" x14ac:dyDescent="0.3">
      <c r="B1559" s="165"/>
    </row>
    <row r="1560" spans="2:2" x14ac:dyDescent="0.3">
      <c r="B1560" s="165"/>
    </row>
    <row r="1561" spans="2:2" x14ac:dyDescent="0.3">
      <c r="B1561" s="165"/>
    </row>
    <row r="1562" spans="2:2" x14ac:dyDescent="0.3">
      <c r="B1562" s="165"/>
    </row>
    <row r="1563" spans="2:2" x14ac:dyDescent="0.3">
      <c r="B1563" s="165"/>
    </row>
    <row r="1564" spans="2:2" x14ac:dyDescent="0.3">
      <c r="B1564" s="165"/>
    </row>
    <row r="1565" spans="2:2" x14ac:dyDescent="0.3">
      <c r="B1565" s="165"/>
    </row>
    <row r="1566" spans="2:2" x14ac:dyDescent="0.3">
      <c r="B1566" s="165"/>
    </row>
    <row r="1567" spans="2:2" x14ac:dyDescent="0.3">
      <c r="B1567" s="165"/>
    </row>
    <row r="1568" spans="2:2" x14ac:dyDescent="0.3">
      <c r="B1568" s="165"/>
    </row>
    <row r="1569" spans="2:2" x14ac:dyDescent="0.3">
      <c r="B1569" s="165"/>
    </row>
    <row r="1570" spans="2:2" x14ac:dyDescent="0.3">
      <c r="B1570" s="165"/>
    </row>
    <row r="1571" spans="2:2" x14ac:dyDescent="0.3">
      <c r="B1571" s="165"/>
    </row>
    <row r="1572" spans="2:2" x14ac:dyDescent="0.3">
      <c r="B1572" s="165"/>
    </row>
    <row r="1573" spans="2:2" x14ac:dyDescent="0.3">
      <c r="B1573" s="165"/>
    </row>
    <row r="1574" spans="2:2" x14ac:dyDescent="0.3">
      <c r="B1574" s="165"/>
    </row>
    <row r="1575" spans="2:2" x14ac:dyDescent="0.3">
      <c r="B1575" s="165"/>
    </row>
    <row r="1576" spans="2:2" x14ac:dyDescent="0.3">
      <c r="B1576" s="165"/>
    </row>
    <row r="1577" spans="2:2" x14ac:dyDescent="0.3">
      <c r="B1577" s="165"/>
    </row>
    <row r="1578" spans="2:2" x14ac:dyDescent="0.3">
      <c r="B1578" s="165"/>
    </row>
    <row r="1579" spans="2:2" x14ac:dyDescent="0.3">
      <c r="B1579" s="165"/>
    </row>
    <row r="1580" spans="2:2" x14ac:dyDescent="0.3">
      <c r="B1580" s="165"/>
    </row>
    <row r="1581" spans="2:2" x14ac:dyDescent="0.3">
      <c r="B1581" s="165"/>
    </row>
    <row r="1582" spans="2:2" x14ac:dyDescent="0.3">
      <c r="B1582" s="165"/>
    </row>
    <row r="1583" spans="2:2" x14ac:dyDescent="0.3">
      <c r="B1583" s="165"/>
    </row>
    <row r="1584" spans="2:2" x14ac:dyDescent="0.3">
      <c r="B1584" s="165"/>
    </row>
    <row r="1585" spans="2:2" x14ac:dyDescent="0.3">
      <c r="B1585" s="165"/>
    </row>
    <row r="1586" spans="2:2" x14ac:dyDescent="0.3">
      <c r="B1586" s="165"/>
    </row>
    <row r="1587" spans="2:2" x14ac:dyDescent="0.3">
      <c r="B1587" s="165"/>
    </row>
    <row r="1588" spans="2:2" x14ac:dyDescent="0.3">
      <c r="B1588" s="165"/>
    </row>
    <row r="1589" spans="2:2" x14ac:dyDescent="0.3">
      <c r="B1589" s="165"/>
    </row>
    <row r="1590" spans="2:2" x14ac:dyDescent="0.3">
      <c r="B1590" s="165"/>
    </row>
    <row r="1591" spans="2:2" x14ac:dyDescent="0.3">
      <c r="B1591" s="165"/>
    </row>
    <row r="1592" spans="2:2" x14ac:dyDescent="0.3">
      <c r="B1592" s="165"/>
    </row>
    <row r="1593" spans="2:2" x14ac:dyDescent="0.3">
      <c r="B1593" s="165"/>
    </row>
    <row r="1594" spans="2:2" x14ac:dyDescent="0.3">
      <c r="B1594" s="165"/>
    </row>
    <row r="1595" spans="2:2" x14ac:dyDescent="0.3">
      <c r="B1595" s="165"/>
    </row>
    <row r="1596" spans="2:2" x14ac:dyDescent="0.3">
      <c r="B1596" s="165"/>
    </row>
    <row r="1597" spans="2:2" x14ac:dyDescent="0.3">
      <c r="B1597" s="165"/>
    </row>
    <row r="1598" spans="2:2" x14ac:dyDescent="0.3">
      <c r="B1598" s="165"/>
    </row>
    <row r="1599" spans="2:2" x14ac:dyDescent="0.3">
      <c r="B1599" s="165"/>
    </row>
    <row r="1600" spans="2:2" x14ac:dyDescent="0.3">
      <c r="B1600" s="165"/>
    </row>
    <row r="1601" spans="2:2" x14ac:dyDescent="0.3">
      <c r="B1601" s="165"/>
    </row>
    <row r="1602" spans="2:2" x14ac:dyDescent="0.3">
      <c r="B1602" s="165"/>
    </row>
    <row r="1603" spans="2:2" x14ac:dyDescent="0.3">
      <c r="B1603" s="165"/>
    </row>
    <row r="1604" spans="2:2" x14ac:dyDescent="0.3">
      <c r="B1604" s="165"/>
    </row>
    <row r="1605" spans="2:2" x14ac:dyDescent="0.3">
      <c r="B1605" s="165"/>
    </row>
    <row r="1606" spans="2:2" x14ac:dyDescent="0.3">
      <c r="B1606" s="165"/>
    </row>
    <row r="1607" spans="2:2" x14ac:dyDescent="0.3">
      <c r="B1607" s="165"/>
    </row>
    <row r="1608" spans="2:2" x14ac:dyDescent="0.3">
      <c r="B1608" s="165"/>
    </row>
    <row r="1609" spans="2:2" x14ac:dyDescent="0.3">
      <c r="B1609" s="165"/>
    </row>
    <row r="1610" spans="2:2" x14ac:dyDescent="0.3">
      <c r="B1610" s="165"/>
    </row>
    <row r="1611" spans="2:2" x14ac:dyDescent="0.3">
      <c r="B1611" s="165"/>
    </row>
    <row r="1612" spans="2:2" x14ac:dyDescent="0.3">
      <c r="B1612" s="165"/>
    </row>
    <row r="1613" spans="2:2" x14ac:dyDescent="0.3">
      <c r="B1613" s="165"/>
    </row>
    <row r="1614" spans="2:2" x14ac:dyDescent="0.3">
      <c r="B1614" s="165"/>
    </row>
    <row r="1615" spans="2:2" x14ac:dyDescent="0.3">
      <c r="B1615" s="165"/>
    </row>
    <row r="1616" spans="2:2" x14ac:dyDescent="0.3">
      <c r="B1616" s="165"/>
    </row>
    <row r="1617" spans="2:2" x14ac:dyDescent="0.3">
      <c r="B1617" s="165"/>
    </row>
    <row r="1618" spans="2:2" x14ac:dyDescent="0.3">
      <c r="B1618" s="165"/>
    </row>
    <row r="1619" spans="2:2" x14ac:dyDescent="0.3">
      <c r="B1619" s="165"/>
    </row>
    <row r="1620" spans="2:2" x14ac:dyDescent="0.3">
      <c r="B1620" s="165"/>
    </row>
    <row r="1621" spans="2:2" x14ac:dyDescent="0.3">
      <c r="B1621" s="165"/>
    </row>
    <row r="1622" spans="2:2" x14ac:dyDescent="0.3">
      <c r="B1622" s="165"/>
    </row>
    <row r="1623" spans="2:2" x14ac:dyDescent="0.3">
      <c r="B1623" s="165"/>
    </row>
    <row r="1624" spans="2:2" x14ac:dyDescent="0.3">
      <c r="B1624" s="165"/>
    </row>
    <row r="1625" spans="2:2" x14ac:dyDescent="0.3">
      <c r="B1625" s="165"/>
    </row>
    <row r="1626" spans="2:2" x14ac:dyDescent="0.3">
      <c r="B1626" s="165"/>
    </row>
    <row r="1627" spans="2:2" x14ac:dyDescent="0.3">
      <c r="B1627" s="165"/>
    </row>
    <row r="1628" spans="2:2" x14ac:dyDescent="0.3">
      <c r="B1628" s="165"/>
    </row>
    <row r="1629" spans="2:2" x14ac:dyDescent="0.3">
      <c r="B1629" s="165"/>
    </row>
    <row r="1630" spans="2:2" x14ac:dyDescent="0.3">
      <c r="B1630" s="165"/>
    </row>
    <row r="1631" spans="2:2" x14ac:dyDescent="0.3">
      <c r="B1631" s="165"/>
    </row>
    <row r="1632" spans="2:2" x14ac:dyDescent="0.3">
      <c r="B1632" s="165"/>
    </row>
    <row r="1633" spans="2:2" x14ac:dyDescent="0.3">
      <c r="B1633" s="165"/>
    </row>
    <row r="1634" spans="2:2" x14ac:dyDescent="0.3">
      <c r="B1634" s="165"/>
    </row>
    <row r="1635" spans="2:2" x14ac:dyDescent="0.3">
      <c r="B1635" s="165"/>
    </row>
    <row r="1636" spans="2:2" x14ac:dyDescent="0.3">
      <c r="B1636" s="165"/>
    </row>
    <row r="1637" spans="2:2" x14ac:dyDescent="0.3">
      <c r="B1637" s="165"/>
    </row>
    <row r="1638" spans="2:2" x14ac:dyDescent="0.3">
      <c r="B1638" s="165"/>
    </row>
    <row r="1639" spans="2:2" x14ac:dyDescent="0.3">
      <c r="B1639" s="165"/>
    </row>
    <row r="1640" spans="2:2" x14ac:dyDescent="0.3">
      <c r="B1640" s="165"/>
    </row>
    <row r="1641" spans="2:2" x14ac:dyDescent="0.3">
      <c r="B1641" s="165"/>
    </row>
    <row r="1642" spans="2:2" x14ac:dyDescent="0.3">
      <c r="B1642" s="165"/>
    </row>
    <row r="1643" spans="2:2" x14ac:dyDescent="0.3">
      <c r="B1643" s="165"/>
    </row>
    <row r="1644" spans="2:2" x14ac:dyDescent="0.3">
      <c r="B1644" s="165"/>
    </row>
    <row r="1645" spans="2:2" x14ac:dyDescent="0.3">
      <c r="B1645" s="165"/>
    </row>
    <row r="1646" spans="2:2" x14ac:dyDescent="0.3">
      <c r="B1646" s="165"/>
    </row>
    <row r="1647" spans="2:2" x14ac:dyDescent="0.3">
      <c r="B1647" s="165"/>
    </row>
    <row r="1648" spans="2:2" x14ac:dyDescent="0.3">
      <c r="B1648" s="165"/>
    </row>
    <row r="1649" spans="2:2" x14ac:dyDescent="0.3">
      <c r="B1649" s="165"/>
    </row>
    <row r="1650" spans="2:2" x14ac:dyDescent="0.3">
      <c r="B1650" s="165"/>
    </row>
    <row r="1651" spans="2:2" x14ac:dyDescent="0.3">
      <c r="B1651" s="165"/>
    </row>
    <row r="1652" spans="2:2" x14ac:dyDescent="0.3">
      <c r="B1652" s="165"/>
    </row>
    <row r="1653" spans="2:2" x14ac:dyDescent="0.3">
      <c r="B1653" s="165"/>
    </row>
    <row r="1654" spans="2:2" x14ac:dyDescent="0.3">
      <c r="B1654" s="165"/>
    </row>
    <row r="1655" spans="2:2" x14ac:dyDescent="0.3">
      <c r="B1655" s="165"/>
    </row>
    <row r="1656" spans="2:2" x14ac:dyDescent="0.3">
      <c r="B1656" s="165"/>
    </row>
    <row r="1657" spans="2:2" x14ac:dyDescent="0.3">
      <c r="B1657" s="165"/>
    </row>
    <row r="1658" spans="2:2" x14ac:dyDescent="0.3">
      <c r="B1658" s="165"/>
    </row>
    <row r="1659" spans="2:2" x14ac:dyDescent="0.3">
      <c r="B1659" s="165"/>
    </row>
    <row r="1660" spans="2:2" x14ac:dyDescent="0.3">
      <c r="B1660" s="165"/>
    </row>
    <row r="1661" spans="2:2" x14ac:dyDescent="0.3">
      <c r="B1661" s="165"/>
    </row>
    <row r="1662" spans="2:2" x14ac:dyDescent="0.3">
      <c r="B1662" s="165"/>
    </row>
    <row r="1663" spans="2:2" x14ac:dyDescent="0.3">
      <c r="B1663" s="165"/>
    </row>
    <row r="1664" spans="2:2" x14ac:dyDescent="0.3">
      <c r="B1664" s="165"/>
    </row>
    <row r="1665" spans="2:2" x14ac:dyDescent="0.3">
      <c r="B1665" s="165"/>
    </row>
    <row r="1666" spans="2:2" x14ac:dyDescent="0.3">
      <c r="B1666" s="165"/>
    </row>
    <row r="1667" spans="2:2" x14ac:dyDescent="0.3">
      <c r="B1667" s="165"/>
    </row>
    <row r="1668" spans="2:2" x14ac:dyDescent="0.3">
      <c r="B1668" s="165"/>
    </row>
    <row r="1669" spans="2:2" x14ac:dyDescent="0.3">
      <c r="B1669" s="165"/>
    </row>
    <row r="1670" spans="2:2" x14ac:dyDescent="0.3">
      <c r="B1670" s="165"/>
    </row>
    <row r="1671" spans="2:2" x14ac:dyDescent="0.3">
      <c r="B1671" s="165"/>
    </row>
    <row r="1672" spans="2:2" x14ac:dyDescent="0.3">
      <c r="B1672" s="165"/>
    </row>
    <row r="1673" spans="2:2" x14ac:dyDescent="0.3">
      <c r="B1673" s="165"/>
    </row>
    <row r="1674" spans="2:2" x14ac:dyDescent="0.3">
      <c r="B1674" s="165"/>
    </row>
    <row r="1675" spans="2:2" x14ac:dyDescent="0.3">
      <c r="B1675" s="165"/>
    </row>
    <row r="1676" spans="2:2" x14ac:dyDescent="0.3">
      <c r="B1676" s="165"/>
    </row>
    <row r="1677" spans="2:2" x14ac:dyDescent="0.3">
      <c r="B1677" s="165"/>
    </row>
    <row r="1678" spans="2:2" x14ac:dyDescent="0.3">
      <c r="B1678" s="165"/>
    </row>
    <row r="1679" spans="2:2" x14ac:dyDescent="0.3">
      <c r="B1679" s="165"/>
    </row>
    <row r="1680" spans="2:2" x14ac:dyDescent="0.3">
      <c r="B1680" s="165"/>
    </row>
    <row r="1681" spans="2:2" x14ac:dyDescent="0.3">
      <c r="B1681" s="165"/>
    </row>
    <row r="1682" spans="2:2" x14ac:dyDescent="0.3">
      <c r="B1682" s="165"/>
    </row>
    <row r="1683" spans="2:2" x14ac:dyDescent="0.3">
      <c r="B1683" s="165"/>
    </row>
    <row r="1684" spans="2:2" x14ac:dyDescent="0.3">
      <c r="B1684" s="165"/>
    </row>
    <row r="1685" spans="2:2" x14ac:dyDescent="0.3">
      <c r="B1685" s="165"/>
    </row>
    <row r="1686" spans="2:2" x14ac:dyDescent="0.3">
      <c r="B1686" s="165"/>
    </row>
    <row r="1687" spans="2:2" x14ac:dyDescent="0.3">
      <c r="B1687" s="165"/>
    </row>
    <row r="1688" spans="2:2" x14ac:dyDescent="0.3">
      <c r="B1688" s="165"/>
    </row>
    <row r="1689" spans="2:2" x14ac:dyDescent="0.3">
      <c r="B1689" s="165"/>
    </row>
    <row r="1690" spans="2:2" x14ac:dyDescent="0.3">
      <c r="B1690" s="165"/>
    </row>
    <row r="1691" spans="2:2" x14ac:dyDescent="0.3">
      <c r="B1691" s="165"/>
    </row>
    <row r="1692" spans="2:2" x14ac:dyDescent="0.3">
      <c r="B1692" s="165"/>
    </row>
    <row r="1693" spans="2:2" x14ac:dyDescent="0.3">
      <c r="B1693" s="165"/>
    </row>
    <row r="1694" spans="2:2" x14ac:dyDescent="0.3">
      <c r="B1694" s="165"/>
    </row>
    <row r="1695" spans="2:2" x14ac:dyDescent="0.3">
      <c r="B1695" s="165"/>
    </row>
    <row r="1696" spans="2:2" x14ac:dyDescent="0.3">
      <c r="B1696" s="165"/>
    </row>
    <row r="1697" spans="2:2" x14ac:dyDescent="0.3">
      <c r="B1697" s="165"/>
    </row>
    <row r="1698" spans="2:2" x14ac:dyDescent="0.3">
      <c r="B1698" s="165"/>
    </row>
    <row r="1699" spans="2:2" x14ac:dyDescent="0.3">
      <c r="B1699" s="165"/>
    </row>
    <row r="1700" spans="2:2" x14ac:dyDescent="0.3">
      <c r="B1700" s="165"/>
    </row>
    <row r="1701" spans="2:2" x14ac:dyDescent="0.3">
      <c r="B1701" s="165"/>
    </row>
    <row r="1702" spans="2:2" x14ac:dyDescent="0.3">
      <c r="B1702" s="165"/>
    </row>
    <row r="1703" spans="2:2" x14ac:dyDescent="0.3">
      <c r="B1703" s="165"/>
    </row>
    <row r="1704" spans="2:2" x14ac:dyDescent="0.3">
      <c r="B1704" s="165"/>
    </row>
    <row r="1705" spans="2:2" x14ac:dyDescent="0.3">
      <c r="B1705" s="165"/>
    </row>
    <row r="1706" spans="2:2" x14ac:dyDescent="0.3">
      <c r="B1706" s="165"/>
    </row>
    <row r="1707" spans="2:2" x14ac:dyDescent="0.3">
      <c r="B1707" s="165"/>
    </row>
    <row r="1708" spans="2:2" x14ac:dyDescent="0.3">
      <c r="B1708" s="165"/>
    </row>
    <row r="1709" spans="2:2" x14ac:dyDescent="0.3">
      <c r="B1709" s="165"/>
    </row>
    <row r="1710" spans="2:2" x14ac:dyDescent="0.3">
      <c r="B1710" s="165"/>
    </row>
    <row r="1711" spans="2:2" x14ac:dyDescent="0.3">
      <c r="B1711" s="165"/>
    </row>
    <row r="1712" spans="2:2" x14ac:dyDescent="0.3">
      <c r="B1712" s="165"/>
    </row>
    <row r="1713" spans="2:2" x14ac:dyDescent="0.3">
      <c r="B1713" s="165"/>
    </row>
    <row r="1714" spans="2:2" x14ac:dyDescent="0.3">
      <c r="B1714" s="165"/>
    </row>
    <row r="1715" spans="2:2" x14ac:dyDescent="0.3">
      <c r="B1715" s="165"/>
    </row>
    <row r="1716" spans="2:2" x14ac:dyDescent="0.3">
      <c r="B1716" s="165"/>
    </row>
    <row r="1717" spans="2:2" x14ac:dyDescent="0.3">
      <c r="B1717" s="165"/>
    </row>
    <row r="1718" spans="2:2" x14ac:dyDescent="0.3">
      <c r="B1718" s="165"/>
    </row>
    <row r="1719" spans="2:2" x14ac:dyDescent="0.3">
      <c r="B1719" s="165"/>
    </row>
  </sheetData>
  <autoFilter ref="A1:H815" xr:uid="{56B83D8A-EC13-4199-9EDE-F0DC1C5165B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69A34DB-31E9-4B81-ABAB-F34C1D6EF996}">
          <x14:formula1>
            <xm:f>'Expenses Reference'!$A:$A</xm:f>
          </x14:formula1>
          <xm:sqref>G1:G656 G658:G1048576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0FAB-1304-40DC-B075-700367F2976D}">
  <dimension ref="A3:W13"/>
  <sheetViews>
    <sheetView zoomScale="79" zoomScaleNormal="100" workbookViewId="0">
      <selection activeCell="J23" sqref="J23"/>
    </sheetView>
  </sheetViews>
  <sheetFormatPr defaultRowHeight="14.4" x14ac:dyDescent="0.3"/>
  <cols>
    <col min="1" max="1" width="14.5546875" bestFit="1" customWidth="1"/>
    <col min="2" max="2" width="16.5546875" bestFit="1" customWidth="1"/>
    <col min="3" max="3" width="10" bestFit="1" customWidth="1"/>
    <col min="4" max="4" width="12" bestFit="1" customWidth="1"/>
    <col min="5" max="5" width="10" bestFit="1" customWidth="1"/>
    <col min="6" max="6" width="9.77734375" bestFit="1" customWidth="1"/>
    <col min="7" max="8" width="12" bestFit="1" customWidth="1"/>
    <col min="9" max="9" width="7" bestFit="1" customWidth="1"/>
    <col min="10" max="10" width="15.88671875" bestFit="1" customWidth="1"/>
    <col min="11" max="11" width="11.109375" bestFit="1" customWidth="1"/>
    <col min="12" max="12" width="15.109375" bestFit="1" customWidth="1"/>
    <col min="13" max="13" width="12" bestFit="1" customWidth="1"/>
    <col min="14" max="14" width="6.44140625" bestFit="1" customWidth="1"/>
    <col min="15" max="15" width="17.6640625" bestFit="1" customWidth="1"/>
    <col min="16" max="17" width="12" bestFit="1" customWidth="1"/>
    <col min="18" max="18" width="7.6640625" bestFit="1" customWidth="1"/>
    <col min="19" max="19" width="7.33203125" bestFit="1" customWidth="1"/>
    <col min="20" max="20" width="12" bestFit="1" customWidth="1"/>
    <col min="21" max="21" width="6" bestFit="1" customWidth="1"/>
    <col min="22" max="22" width="5.33203125" bestFit="1" customWidth="1"/>
    <col min="23" max="24" width="12"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3" x14ac:dyDescent="0.3">
      <c r="A3" s="156" t="s">
        <v>104</v>
      </c>
      <c r="B3" s="156" t="s">
        <v>122</v>
      </c>
    </row>
    <row r="4" spans="1:23" x14ac:dyDescent="0.3">
      <c r="A4" s="156" t="s">
        <v>105</v>
      </c>
      <c r="B4" t="s">
        <v>146</v>
      </c>
      <c r="C4" t="s">
        <v>185</v>
      </c>
      <c r="D4" t="s">
        <v>81</v>
      </c>
      <c r="E4" t="s">
        <v>188</v>
      </c>
      <c r="F4" t="s">
        <v>215</v>
      </c>
      <c r="G4" t="s">
        <v>34</v>
      </c>
      <c r="H4" t="s">
        <v>191</v>
      </c>
      <c r="I4" t="s">
        <v>217</v>
      </c>
      <c r="J4" t="s">
        <v>82</v>
      </c>
      <c r="K4" t="s">
        <v>35</v>
      </c>
      <c r="L4" t="s">
        <v>213</v>
      </c>
      <c r="M4" t="s">
        <v>30</v>
      </c>
      <c r="N4" t="s">
        <v>218</v>
      </c>
      <c r="O4" t="s">
        <v>54</v>
      </c>
      <c r="P4" t="s">
        <v>84</v>
      </c>
      <c r="Q4" t="s">
        <v>119</v>
      </c>
      <c r="R4" t="s">
        <v>83</v>
      </c>
      <c r="S4" t="s">
        <v>216</v>
      </c>
      <c r="T4" t="s">
        <v>32</v>
      </c>
      <c r="U4" t="s">
        <v>93</v>
      </c>
      <c r="V4" t="s">
        <v>33</v>
      </c>
      <c r="W4" t="s">
        <v>106</v>
      </c>
    </row>
    <row r="5" spans="1:23" x14ac:dyDescent="0.3">
      <c r="A5" s="157" t="s">
        <v>491</v>
      </c>
      <c r="B5">
        <v>161.30000000000001</v>
      </c>
      <c r="C5">
        <v>3418.0549999999998</v>
      </c>
      <c r="D5">
        <v>9722</v>
      </c>
      <c r="E5">
        <v>7925.0550000000003</v>
      </c>
      <c r="F5">
        <v>2178</v>
      </c>
      <c r="G5">
        <v>3622.6</v>
      </c>
      <c r="I5">
        <v>1000</v>
      </c>
      <c r="J5">
        <v>1810.1599999999999</v>
      </c>
      <c r="K5">
        <v>2307</v>
      </c>
      <c r="L5">
        <v>290</v>
      </c>
      <c r="M5">
        <v>20734</v>
      </c>
      <c r="O5">
        <v>606</v>
      </c>
      <c r="P5">
        <v>2459.416666666667</v>
      </c>
      <c r="Q5">
        <v>12640</v>
      </c>
      <c r="R5">
        <v>6434</v>
      </c>
      <c r="S5">
        <v>670</v>
      </c>
      <c r="W5">
        <v>75977.58666666667</v>
      </c>
    </row>
    <row r="6" spans="1:23" x14ac:dyDescent="0.3">
      <c r="A6" s="157" t="s">
        <v>492</v>
      </c>
      <c r="C6">
        <v>2596</v>
      </c>
      <c r="D6">
        <v>4786</v>
      </c>
      <c r="E6">
        <v>6725</v>
      </c>
      <c r="F6">
        <v>3489.5</v>
      </c>
      <c r="G6">
        <v>2457.6266666666666</v>
      </c>
      <c r="H6">
        <v>1067.3333333333333</v>
      </c>
      <c r="J6">
        <v>200.9</v>
      </c>
      <c r="K6">
        <v>4082.3</v>
      </c>
      <c r="L6">
        <v>1825</v>
      </c>
      <c r="M6">
        <v>20201.169999999998</v>
      </c>
      <c r="N6">
        <v>5000</v>
      </c>
      <c r="O6">
        <v>606</v>
      </c>
      <c r="P6">
        <v>665.5</v>
      </c>
      <c r="Q6">
        <v>17161</v>
      </c>
      <c r="R6">
        <v>2586</v>
      </c>
      <c r="W6">
        <v>73449.33</v>
      </c>
    </row>
    <row r="7" spans="1:23" x14ac:dyDescent="0.3">
      <c r="A7" s="157" t="s">
        <v>493</v>
      </c>
      <c r="B7">
        <v>699</v>
      </c>
      <c r="C7">
        <v>12025</v>
      </c>
      <c r="D7">
        <v>15816.079999999998</v>
      </c>
      <c r="E7">
        <v>36305.19</v>
      </c>
      <c r="F7">
        <v>2184.11</v>
      </c>
      <c r="G7">
        <v>3596.07</v>
      </c>
      <c r="H7">
        <v>92</v>
      </c>
      <c r="I7">
        <v>15000</v>
      </c>
      <c r="J7">
        <v>704.92000000000007</v>
      </c>
      <c r="K7">
        <v>2082</v>
      </c>
      <c r="L7">
        <v>1107</v>
      </c>
      <c r="M7">
        <v>20666.666666666668</v>
      </c>
      <c r="O7">
        <v>1837</v>
      </c>
      <c r="P7">
        <v>2085.833333333333</v>
      </c>
      <c r="R7">
        <v>10913</v>
      </c>
      <c r="T7">
        <v>833.33666666666659</v>
      </c>
      <c r="W7">
        <v>125947.20666666668</v>
      </c>
    </row>
    <row r="8" spans="1:23" x14ac:dyDescent="0.3">
      <c r="A8" s="157" t="s">
        <v>494</v>
      </c>
      <c r="B8">
        <v>150</v>
      </c>
      <c r="C8">
        <v>15388</v>
      </c>
      <c r="D8">
        <v>9702.2966666666671</v>
      </c>
      <c r="E8">
        <v>7890</v>
      </c>
      <c r="F8">
        <v>5134.43</v>
      </c>
      <c r="G8">
        <v>3468</v>
      </c>
      <c r="H8">
        <v>3845</v>
      </c>
      <c r="I8">
        <v>15000</v>
      </c>
      <c r="J8">
        <v>530</v>
      </c>
      <c r="K8">
        <v>2139</v>
      </c>
      <c r="L8">
        <v>1598.6666666666667</v>
      </c>
      <c r="M8">
        <v>20666.666666666668</v>
      </c>
      <c r="O8">
        <v>347</v>
      </c>
      <c r="P8">
        <v>1730.1666666666667</v>
      </c>
      <c r="Q8">
        <v>16376</v>
      </c>
      <c r="R8">
        <v>6373</v>
      </c>
      <c r="T8">
        <v>666.66666666666663</v>
      </c>
      <c r="W8">
        <v>111004.89333333334</v>
      </c>
    </row>
    <row r="9" spans="1:23" x14ac:dyDescent="0.3">
      <c r="A9" s="157" t="s">
        <v>495</v>
      </c>
      <c r="C9">
        <v>16671</v>
      </c>
      <c r="D9">
        <v>16233</v>
      </c>
      <c r="E9">
        <v>500</v>
      </c>
      <c r="F9">
        <v>10159</v>
      </c>
      <c r="G9">
        <v>4784</v>
      </c>
      <c r="I9">
        <v>35000</v>
      </c>
      <c r="J9">
        <v>49</v>
      </c>
      <c r="K9">
        <v>1228</v>
      </c>
      <c r="L9">
        <v>572</v>
      </c>
      <c r="M9">
        <v>20666.666666666668</v>
      </c>
      <c r="N9">
        <v>35000</v>
      </c>
      <c r="O9">
        <v>347</v>
      </c>
      <c r="P9">
        <v>3291</v>
      </c>
      <c r="R9">
        <v>3265</v>
      </c>
      <c r="U9">
        <v>60000</v>
      </c>
      <c r="W9">
        <v>207765.66666666669</v>
      </c>
    </row>
    <row r="10" spans="1:23" x14ac:dyDescent="0.3">
      <c r="A10" s="157" t="s">
        <v>496</v>
      </c>
      <c r="B10">
        <v>150</v>
      </c>
      <c r="D10">
        <v>13315.333333333334</v>
      </c>
      <c r="E10">
        <v>5375</v>
      </c>
      <c r="F10">
        <v>5373.34</v>
      </c>
      <c r="G10">
        <v>2732.666666666667</v>
      </c>
      <c r="I10">
        <v>35000</v>
      </c>
      <c r="J10">
        <v>534</v>
      </c>
      <c r="K10">
        <v>2424</v>
      </c>
      <c r="L10">
        <v>885</v>
      </c>
      <c r="M10">
        <v>20666.666666666668</v>
      </c>
      <c r="O10">
        <v>148</v>
      </c>
      <c r="P10">
        <v>340</v>
      </c>
      <c r="Q10">
        <v>18028.166666666664</v>
      </c>
      <c r="R10">
        <v>2984</v>
      </c>
      <c r="W10">
        <v>107956.17333333334</v>
      </c>
    </row>
    <row r="11" spans="1:23" x14ac:dyDescent="0.3">
      <c r="A11" s="157" t="s">
        <v>516</v>
      </c>
      <c r="D11">
        <v>14836.333333333334</v>
      </c>
      <c r="E11">
        <v>2275</v>
      </c>
      <c r="F11">
        <v>766</v>
      </c>
      <c r="G11">
        <v>1580</v>
      </c>
      <c r="H11">
        <v>320</v>
      </c>
      <c r="I11">
        <v>17000</v>
      </c>
      <c r="J11">
        <v>677</v>
      </c>
      <c r="K11">
        <v>1085</v>
      </c>
      <c r="L11">
        <v>776</v>
      </c>
      <c r="M11">
        <v>20667</v>
      </c>
      <c r="N11">
        <v>20000</v>
      </c>
      <c r="O11">
        <v>1747</v>
      </c>
      <c r="P11">
        <v>1561</v>
      </c>
      <c r="R11">
        <v>760</v>
      </c>
      <c r="V11">
        <v>2000</v>
      </c>
      <c r="W11">
        <v>86050.333333333343</v>
      </c>
    </row>
    <row r="12" spans="1:23" x14ac:dyDescent="0.3">
      <c r="A12" s="157" t="s">
        <v>573</v>
      </c>
      <c r="B12">
        <v>220</v>
      </c>
      <c r="C12">
        <v>2145</v>
      </c>
      <c r="D12">
        <v>10737.903333333334</v>
      </c>
      <c r="G12">
        <v>140</v>
      </c>
      <c r="I12">
        <v>20000</v>
      </c>
      <c r="K12">
        <v>1382</v>
      </c>
      <c r="L12">
        <v>1031</v>
      </c>
      <c r="M12">
        <v>20666.666666666668</v>
      </c>
      <c r="O12">
        <v>477</v>
      </c>
      <c r="P12">
        <v>944.33333333333337</v>
      </c>
      <c r="R12">
        <v>108044</v>
      </c>
      <c r="V12">
        <v>2000</v>
      </c>
      <c r="W12">
        <v>167787.90333333335</v>
      </c>
    </row>
    <row r="13" spans="1:23" x14ac:dyDescent="0.3">
      <c r="A13" s="157" t="s">
        <v>106</v>
      </c>
      <c r="B13">
        <v>1380.3</v>
      </c>
      <c r="C13">
        <v>52243.055</v>
      </c>
      <c r="D13">
        <v>95148.946666666656</v>
      </c>
      <c r="E13">
        <v>66995.244999999995</v>
      </c>
      <c r="F13">
        <v>29284.38</v>
      </c>
      <c r="G13">
        <v>22380.963333333337</v>
      </c>
      <c r="H13">
        <v>5324.333333333333</v>
      </c>
      <c r="I13">
        <v>138000</v>
      </c>
      <c r="J13">
        <v>4505.9799999999996</v>
      </c>
      <c r="K13">
        <v>16729.3</v>
      </c>
      <c r="L13">
        <v>8084.666666666667</v>
      </c>
      <c r="M13">
        <v>164935.50333333333</v>
      </c>
      <c r="N13">
        <v>60000</v>
      </c>
      <c r="O13">
        <v>6115</v>
      </c>
      <c r="P13">
        <v>13077.250000000002</v>
      </c>
      <c r="Q13">
        <v>64205.166666666664</v>
      </c>
      <c r="R13">
        <v>141359</v>
      </c>
      <c r="S13">
        <v>670</v>
      </c>
      <c r="T13">
        <v>1500.0033333333331</v>
      </c>
      <c r="U13">
        <v>60000</v>
      </c>
      <c r="V13">
        <v>4000</v>
      </c>
      <c r="W13">
        <v>955939.09333333338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C4DFE-F647-4983-8718-0E5EDBF8B7B7}">
  <dimension ref="A3:W37"/>
  <sheetViews>
    <sheetView topLeftCell="B16" zoomScale="83" zoomScaleNormal="90" workbookViewId="0">
      <selection activeCell="X32" sqref="X32"/>
    </sheetView>
  </sheetViews>
  <sheetFormatPr defaultRowHeight="14.4" x14ac:dyDescent="0.3"/>
  <cols>
    <col min="1" max="1" width="14.88671875" bestFit="1" customWidth="1"/>
    <col min="2" max="2" width="15.77734375" bestFit="1" customWidth="1"/>
    <col min="3" max="3" width="10" bestFit="1" customWidth="1"/>
    <col min="4" max="4" width="12" bestFit="1" customWidth="1"/>
    <col min="5" max="5" width="10" bestFit="1" customWidth="1"/>
    <col min="6" max="6" width="9.44140625" bestFit="1" customWidth="1"/>
    <col min="7" max="8" width="12" bestFit="1" customWidth="1"/>
    <col min="9" max="9" width="7" bestFit="1" customWidth="1"/>
    <col min="10" max="10" width="15.21875" bestFit="1" customWidth="1"/>
    <col min="11" max="11" width="10.6640625" bestFit="1" customWidth="1"/>
    <col min="12" max="12" width="14.6640625" bestFit="1" customWidth="1"/>
    <col min="13" max="13" width="12" bestFit="1" customWidth="1"/>
    <col min="14" max="14" width="6.44140625" bestFit="1" customWidth="1"/>
    <col min="15" max="15" width="16.88671875" bestFit="1" customWidth="1"/>
    <col min="16" max="17" width="12" bestFit="1" customWidth="1"/>
    <col min="18" max="18" width="7.6640625" bestFit="1" customWidth="1"/>
    <col min="19" max="19" width="7" bestFit="1" customWidth="1"/>
    <col min="20" max="20" width="12" bestFit="1" customWidth="1"/>
    <col min="21" max="21" width="6" bestFit="1" customWidth="1"/>
    <col min="22" max="22" width="5.33203125" bestFit="1" customWidth="1"/>
    <col min="23" max="24" width="12"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3" x14ac:dyDescent="0.3">
      <c r="A3" s="156" t="s">
        <v>104</v>
      </c>
      <c r="B3" s="156" t="s">
        <v>122</v>
      </c>
    </row>
    <row r="4" spans="1:23" x14ac:dyDescent="0.3">
      <c r="A4" s="156" t="s">
        <v>105</v>
      </c>
      <c r="B4" t="s">
        <v>146</v>
      </c>
      <c r="C4" t="s">
        <v>185</v>
      </c>
      <c r="D4" t="s">
        <v>81</v>
      </c>
      <c r="E4" t="s">
        <v>188</v>
      </c>
      <c r="F4" t="s">
        <v>215</v>
      </c>
      <c r="G4" t="s">
        <v>34</v>
      </c>
      <c r="H4" t="s">
        <v>191</v>
      </c>
      <c r="I4" t="s">
        <v>217</v>
      </c>
      <c r="J4" t="s">
        <v>82</v>
      </c>
      <c r="K4" t="s">
        <v>35</v>
      </c>
      <c r="L4" t="s">
        <v>213</v>
      </c>
      <c r="M4" t="s">
        <v>30</v>
      </c>
      <c r="N4" t="s">
        <v>218</v>
      </c>
      <c r="O4" t="s">
        <v>54</v>
      </c>
      <c r="P4" t="s">
        <v>84</v>
      </c>
      <c r="Q4" t="s">
        <v>119</v>
      </c>
      <c r="R4" t="s">
        <v>83</v>
      </c>
      <c r="S4" t="s">
        <v>216</v>
      </c>
      <c r="T4" t="s">
        <v>32</v>
      </c>
      <c r="U4" t="s">
        <v>93</v>
      </c>
      <c r="V4" t="s">
        <v>33</v>
      </c>
      <c r="W4" t="s">
        <v>106</v>
      </c>
    </row>
    <row r="5" spans="1:23" x14ac:dyDescent="0.3">
      <c r="A5" s="157" t="s">
        <v>491</v>
      </c>
      <c r="B5">
        <v>161.30000000000001</v>
      </c>
      <c r="C5">
        <v>3418.0549999999998</v>
      </c>
      <c r="D5">
        <v>9722</v>
      </c>
      <c r="E5">
        <v>7925.0550000000003</v>
      </c>
      <c r="F5">
        <v>2178</v>
      </c>
      <c r="G5">
        <v>3622.6</v>
      </c>
      <c r="I5">
        <v>1000</v>
      </c>
      <c r="J5">
        <v>1810.1599999999999</v>
      </c>
      <c r="K5">
        <v>2307</v>
      </c>
      <c r="L5">
        <v>290</v>
      </c>
      <c r="M5">
        <v>20734</v>
      </c>
      <c r="O5">
        <v>606</v>
      </c>
      <c r="P5">
        <v>2459.416666666667</v>
      </c>
      <c r="Q5">
        <v>12640</v>
      </c>
      <c r="R5">
        <v>6434</v>
      </c>
      <c r="S5">
        <v>670</v>
      </c>
      <c r="W5">
        <v>75977.58666666667</v>
      </c>
    </row>
    <row r="6" spans="1:23" x14ac:dyDescent="0.3">
      <c r="A6" s="202" t="s">
        <v>29</v>
      </c>
      <c r="I6">
        <v>1000</v>
      </c>
      <c r="W6">
        <v>1000</v>
      </c>
    </row>
    <row r="7" spans="1:23" x14ac:dyDescent="0.3">
      <c r="A7" s="202" t="s">
        <v>221</v>
      </c>
      <c r="B7">
        <v>161.30000000000001</v>
      </c>
      <c r="G7">
        <v>3622.6</v>
      </c>
      <c r="J7">
        <v>1810.1599999999999</v>
      </c>
      <c r="K7">
        <v>2307</v>
      </c>
      <c r="L7">
        <v>290</v>
      </c>
      <c r="M7">
        <v>20734</v>
      </c>
      <c r="Q7">
        <v>12640</v>
      </c>
      <c r="W7">
        <v>41565.06</v>
      </c>
    </row>
    <row r="8" spans="1:23" x14ac:dyDescent="0.3">
      <c r="A8" s="202" t="s">
        <v>220</v>
      </c>
      <c r="C8">
        <v>3418.0549999999998</v>
      </c>
      <c r="D8">
        <v>9722</v>
      </c>
      <c r="E8">
        <v>7925.0550000000003</v>
      </c>
      <c r="F8">
        <v>2178</v>
      </c>
      <c r="O8">
        <v>606</v>
      </c>
      <c r="P8">
        <v>2459.416666666667</v>
      </c>
      <c r="R8">
        <v>6434</v>
      </c>
      <c r="S8">
        <v>670</v>
      </c>
      <c r="W8">
        <v>33412.526666666672</v>
      </c>
    </row>
    <row r="9" spans="1:23" x14ac:dyDescent="0.3">
      <c r="A9" s="157" t="s">
        <v>492</v>
      </c>
      <c r="C9">
        <v>2596</v>
      </c>
      <c r="D9">
        <v>4786</v>
      </c>
      <c r="E9">
        <v>6725</v>
      </c>
      <c r="F9">
        <v>3489.5</v>
      </c>
      <c r="G9">
        <v>2457.6266666666666</v>
      </c>
      <c r="H9">
        <v>1067.3333333333333</v>
      </c>
      <c r="J9">
        <v>200.9</v>
      </c>
      <c r="K9">
        <v>4082.3</v>
      </c>
      <c r="L9">
        <v>1825</v>
      </c>
      <c r="M9">
        <v>20201.169999999998</v>
      </c>
      <c r="N9">
        <v>5000</v>
      </c>
      <c r="O9">
        <v>606</v>
      </c>
      <c r="P9">
        <v>665.5</v>
      </c>
      <c r="Q9">
        <v>17161</v>
      </c>
      <c r="R9">
        <v>2586</v>
      </c>
      <c r="W9">
        <v>73449.33</v>
      </c>
    </row>
    <row r="10" spans="1:23" x14ac:dyDescent="0.3">
      <c r="A10" s="202" t="s">
        <v>29</v>
      </c>
      <c r="N10">
        <v>5000</v>
      </c>
      <c r="W10">
        <v>5000</v>
      </c>
    </row>
    <row r="11" spans="1:23" x14ac:dyDescent="0.3">
      <c r="A11" s="202" t="s">
        <v>221</v>
      </c>
      <c r="G11">
        <v>2457.6266666666666</v>
      </c>
      <c r="J11">
        <v>200.9</v>
      </c>
      <c r="K11">
        <v>4082.3</v>
      </c>
      <c r="L11">
        <v>1825</v>
      </c>
      <c r="M11">
        <v>20201.169999999998</v>
      </c>
      <c r="Q11">
        <v>17161</v>
      </c>
      <c r="W11">
        <v>45927.996666666666</v>
      </c>
    </row>
    <row r="12" spans="1:23" x14ac:dyDescent="0.3">
      <c r="A12" s="202" t="s">
        <v>220</v>
      </c>
      <c r="C12">
        <v>2596</v>
      </c>
      <c r="D12">
        <v>4786</v>
      </c>
      <c r="E12">
        <v>6725</v>
      </c>
      <c r="F12">
        <v>3489.5</v>
      </c>
      <c r="H12">
        <v>1067.3333333333333</v>
      </c>
      <c r="O12">
        <v>606</v>
      </c>
      <c r="P12">
        <v>665.5</v>
      </c>
      <c r="R12">
        <v>2586</v>
      </c>
      <c r="W12">
        <v>22521.333333333332</v>
      </c>
    </row>
    <row r="13" spans="1:23" x14ac:dyDescent="0.3">
      <c r="A13" s="157" t="s">
        <v>493</v>
      </c>
      <c r="B13">
        <v>699</v>
      </c>
      <c r="C13">
        <v>12025</v>
      </c>
      <c r="D13">
        <v>15816.079999999998</v>
      </c>
      <c r="E13">
        <v>36305.19</v>
      </c>
      <c r="F13">
        <v>2184.11</v>
      </c>
      <c r="G13">
        <v>3596.07</v>
      </c>
      <c r="H13">
        <v>92</v>
      </c>
      <c r="I13">
        <v>15000</v>
      </c>
      <c r="J13">
        <v>704.92000000000007</v>
      </c>
      <c r="K13">
        <v>2082</v>
      </c>
      <c r="L13">
        <v>1107</v>
      </c>
      <c r="M13">
        <v>20666.666666666668</v>
      </c>
      <c r="O13">
        <v>1837</v>
      </c>
      <c r="P13">
        <v>2085.833333333333</v>
      </c>
      <c r="R13">
        <v>10913</v>
      </c>
      <c r="T13">
        <v>833.33666666666659</v>
      </c>
      <c r="W13">
        <v>125947.20666666667</v>
      </c>
    </row>
    <row r="14" spans="1:23" x14ac:dyDescent="0.3">
      <c r="A14" s="202" t="s">
        <v>29</v>
      </c>
      <c r="I14">
        <v>15000</v>
      </c>
      <c r="W14">
        <v>15000</v>
      </c>
    </row>
    <row r="15" spans="1:23" x14ac:dyDescent="0.3">
      <c r="A15" s="202" t="s">
        <v>221</v>
      </c>
      <c r="B15">
        <v>699</v>
      </c>
      <c r="G15">
        <v>3596.07</v>
      </c>
      <c r="J15">
        <v>704.92000000000007</v>
      </c>
      <c r="K15">
        <v>2082</v>
      </c>
      <c r="L15">
        <v>1107</v>
      </c>
      <c r="M15">
        <v>20666.666666666668</v>
      </c>
      <c r="T15">
        <v>833.33666666666659</v>
      </c>
      <c r="W15">
        <v>29688.993333333336</v>
      </c>
    </row>
    <row r="16" spans="1:23" x14ac:dyDescent="0.3">
      <c r="A16" s="202" t="s">
        <v>220</v>
      </c>
      <c r="C16">
        <v>12025</v>
      </c>
      <c r="D16">
        <v>15816.079999999998</v>
      </c>
      <c r="E16">
        <v>36305.19</v>
      </c>
      <c r="F16">
        <v>2184.11</v>
      </c>
      <c r="H16">
        <v>92</v>
      </c>
      <c r="O16">
        <v>1837</v>
      </c>
      <c r="P16">
        <v>2085.833333333333</v>
      </c>
      <c r="R16">
        <v>10913</v>
      </c>
      <c r="W16">
        <v>81258.213333333333</v>
      </c>
    </row>
    <row r="17" spans="1:23" x14ac:dyDescent="0.3">
      <c r="A17" s="157" t="s">
        <v>494</v>
      </c>
      <c r="B17">
        <v>150</v>
      </c>
      <c r="C17">
        <v>15388</v>
      </c>
      <c r="D17">
        <v>9702.2966666666671</v>
      </c>
      <c r="E17">
        <v>7890</v>
      </c>
      <c r="F17">
        <v>5134.43</v>
      </c>
      <c r="G17">
        <v>3468</v>
      </c>
      <c r="H17">
        <v>3845</v>
      </c>
      <c r="I17">
        <v>15000</v>
      </c>
      <c r="J17">
        <v>530</v>
      </c>
      <c r="K17">
        <v>2139</v>
      </c>
      <c r="L17">
        <v>1598.6666666666667</v>
      </c>
      <c r="M17">
        <v>20666.666666666668</v>
      </c>
      <c r="O17">
        <v>347</v>
      </c>
      <c r="P17">
        <v>1730.1666666666667</v>
      </c>
      <c r="Q17">
        <v>16376</v>
      </c>
      <c r="R17">
        <v>6373</v>
      </c>
      <c r="T17">
        <v>666.66666666666663</v>
      </c>
      <c r="W17">
        <v>111004.89333333334</v>
      </c>
    </row>
    <row r="18" spans="1:23" x14ac:dyDescent="0.3">
      <c r="A18" s="202" t="s">
        <v>29</v>
      </c>
      <c r="I18">
        <v>15000</v>
      </c>
      <c r="W18">
        <v>15000</v>
      </c>
    </row>
    <row r="19" spans="1:23" x14ac:dyDescent="0.3">
      <c r="A19" s="202" t="s">
        <v>221</v>
      </c>
      <c r="B19">
        <v>150</v>
      </c>
      <c r="G19">
        <v>3468</v>
      </c>
      <c r="J19">
        <v>530</v>
      </c>
      <c r="K19">
        <v>2139</v>
      </c>
      <c r="L19">
        <v>1598.6666666666667</v>
      </c>
      <c r="M19">
        <v>20666.666666666668</v>
      </c>
      <c r="Q19">
        <v>16376</v>
      </c>
      <c r="T19">
        <v>666.66666666666663</v>
      </c>
      <c r="W19">
        <v>45595</v>
      </c>
    </row>
    <row r="20" spans="1:23" x14ac:dyDescent="0.3">
      <c r="A20" s="202" t="s">
        <v>220</v>
      </c>
      <c r="C20">
        <v>15388</v>
      </c>
      <c r="D20">
        <v>9702.2966666666671</v>
      </c>
      <c r="E20">
        <v>7890</v>
      </c>
      <c r="F20">
        <v>5134.43</v>
      </c>
      <c r="H20">
        <v>3845</v>
      </c>
      <c r="O20">
        <v>347</v>
      </c>
      <c r="P20">
        <v>1730.1666666666667</v>
      </c>
      <c r="R20">
        <v>6373</v>
      </c>
      <c r="W20">
        <v>50409.893333333333</v>
      </c>
    </row>
    <row r="21" spans="1:23" x14ac:dyDescent="0.3">
      <c r="A21" s="157" t="s">
        <v>495</v>
      </c>
      <c r="C21">
        <v>16671</v>
      </c>
      <c r="D21">
        <v>16233</v>
      </c>
      <c r="E21">
        <v>500</v>
      </c>
      <c r="F21">
        <v>10159</v>
      </c>
      <c r="G21">
        <v>4784</v>
      </c>
      <c r="I21">
        <v>35000</v>
      </c>
      <c r="J21">
        <v>49</v>
      </c>
      <c r="K21">
        <v>1228</v>
      </c>
      <c r="L21">
        <v>572</v>
      </c>
      <c r="M21">
        <v>20666.666666666668</v>
      </c>
      <c r="N21">
        <v>35000</v>
      </c>
      <c r="O21">
        <v>347</v>
      </c>
      <c r="P21">
        <v>3291</v>
      </c>
      <c r="R21">
        <v>3265</v>
      </c>
      <c r="U21">
        <v>60000</v>
      </c>
      <c r="W21">
        <v>207765.66666666666</v>
      </c>
    </row>
    <row r="22" spans="1:23" x14ac:dyDescent="0.3">
      <c r="A22" s="202" t="s">
        <v>29</v>
      </c>
      <c r="I22">
        <v>35000</v>
      </c>
      <c r="N22">
        <v>35000</v>
      </c>
      <c r="U22">
        <v>60000</v>
      </c>
      <c r="W22">
        <v>130000</v>
      </c>
    </row>
    <row r="23" spans="1:23" x14ac:dyDescent="0.3">
      <c r="A23" s="202" t="s">
        <v>221</v>
      </c>
      <c r="G23">
        <v>4784</v>
      </c>
      <c r="J23">
        <v>49</v>
      </c>
      <c r="K23">
        <v>1228</v>
      </c>
      <c r="L23">
        <v>572</v>
      </c>
      <c r="M23">
        <v>20666.666666666668</v>
      </c>
      <c r="W23">
        <v>27299.666666666668</v>
      </c>
    </row>
    <row r="24" spans="1:23" x14ac:dyDescent="0.3">
      <c r="A24" s="202" t="s">
        <v>220</v>
      </c>
      <c r="C24">
        <v>16671</v>
      </c>
      <c r="D24">
        <v>16233</v>
      </c>
      <c r="E24">
        <v>500</v>
      </c>
      <c r="F24">
        <v>10159</v>
      </c>
      <c r="O24">
        <v>347</v>
      </c>
      <c r="P24">
        <v>3291</v>
      </c>
      <c r="R24">
        <v>3265</v>
      </c>
      <c r="W24">
        <v>50466</v>
      </c>
    </row>
    <row r="25" spans="1:23" x14ac:dyDescent="0.3">
      <c r="A25" s="157" t="s">
        <v>496</v>
      </c>
      <c r="B25">
        <v>150</v>
      </c>
      <c r="D25">
        <v>13315.333333333334</v>
      </c>
      <c r="E25">
        <v>5375</v>
      </c>
      <c r="F25">
        <v>5373.34</v>
      </c>
      <c r="G25">
        <v>2732.666666666667</v>
      </c>
      <c r="I25">
        <v>35000</v>
      </c>
      <c r="J25">
        <v>534</v>
      </c>
      <c r="K25">
        <v>2424</v>
      </c>
      <c r="L25">
        <v>885</v>
      </c>
      <c r="M25">
        <v>20666.666666666668</v>
      </c>
      <c r="O25">
        <v>148</v>
      </c>
      <c r="P25">
        <v>340</v>
      </c>
      <c r="Q25">
        <v>18028.166666666664</v>
      </c>
      <c r="R25">
        <v>2984</v>
      </c>
      <c r="W25">
        <v>107956.17333333334</v>
      </c>
    </row>
    <row r="26" spans="1:23" x14ac:dyDescent="0.3">
      <c r="A26" s="202" t="s">
        <v>29</v>
      </c>
      <c r="I26">
        <v>35000</v>
      </c>
      <c r="W26">
        <v>35000</v>
      </c>
    </row>
    <row r="27" spans="1:23" x14ac:dyDescent="0.3">
      <c r="A27" s="202" t="s">
        <v>221</v>
      </c>
      <c r="B27">
        <v>150</v>
      </c>
      <c r="G27">
        <v>2732.666666666667</v>
      </c>
      <c r="J27">
        <v>534</v>
      </c>
      <c r="K27">
        <v>2424</v>
      </c>
      <c r="L27">
        <v>885</v>
      </c>
      <c r="M27">
        <v>20666.666666666668</v>
      </c>
      <c r="Q27">
        <v>18028.166666666664</v>
      </c>
      <c r="W27">
        <v>45420.5</v>
      </c>
    </row>
    <row r="28" spans="1:23" x14ac:dyDescent="0.3">
      <c r="A28" s="202" t="s">
        <v>220</v>
      </c>
      <c r="D28">
        <v>13315.333333333334</v>
      </c>
      <c r="E28">
        <v>5375</v>
      </c>
      <c r="F28">
        <v>5373.34</v>
      </c>
      <c r="O28">
        <v>148</v>
      </c>
      <c r="P28">
        <v>340</v>
      </c>
      <c r="R28">
        <v>2984</v>
      </c>
      <c r="W28">
        <v>27535.673333333336</v>
      </c>
    </row>
    <row r="29" spans="1:23" x14ac:dyDescent="0.3">
      <c r="A29" s="157" t="s">
        <v>516</v>
      </c>
      <c r="D29">
        <v>14836.333333333334</v>
      </c>
      <c r="E29">
        <v>2275</v>
      </c>
      <c r="F29">
        <v>766</v>
      </c>
      <c r="G29">
        <v>1580</v>
      </c>
      <c r="H29">
        <v>320</v>
      </c>
      <c r="I29">
        <v>17000</v>
      </c>
      <c r="J29">
        <v>677</v>
      </c>
      <c r="K29">
        <v>1085</v>
      </c>
      <c r="L29">
        <v>776</v>
      </c>
      <c r="M29">
        <v>20667</v>
      </c>
      <c r="N29">
        <v>20000</v>
      </c>
      <c r="O29">
        <v>1747</v>
      </c>
      <c r="P29">
        <v>1561</v>
      </c>
      <c r="R29">
        <v>760</v>
      </c>
      <c r="V29">
        <v>2000</v>
      </c>
      <c r="W29">
        <v>86050.333333333343</v>
      </c>
    </row>
    <row r="30" spans="1:23" x14ac:dyDescent="0.3">
      <c r="A30" s="202" t="s">
        <v>29</v>
      </c>
      <c r="I30">
        <v>17000</v>
      </c>
      <c r="N30">
        <v>20000</v>
      </c>
      <c r="W30">
        <v>37000</v>
      </c>
    </row>
    <row r="31" spans="1:23" x14ac:dyDescent="0.3">
      <c r="A31" s="202" t="s">
        <v>221</v>
      </c>
      <c r="G31">
        <v>1580</v>
      </c>
      <c r="J31">
        <v>677</v>
      </c>
      <c r="K31">
        <v>1085</v>
      </c>
      <c r="L31">
        <v>776</v>
      </c>
      <c r="M31">
        <v>20667</v>
      </c>
      <c r="V31">
        <v>2000</v>
      </c>
      <c r="W31">
        <v>26785</v>
      </c>
    </row>
    <row r="32" spans="1:23" x14ac:dyDescent="0.3">
      <c r="A32" s="202" t="s">
        <v>220</v>
      </c>
      <c r="D32">
        <v>14836.333333333334</v>
      </c>
      <c r="E32">
        <v>2275</v>
      </c>
      <c r="F32">
        <v>766</v>
      </c>
      <c r="H32">
        <v>320</v>
      </c>
      <c r="O32">
        <v>1747</v>
      </c>
      <c r="P32">
        <v>1561</v>
      </c>
      <c r="R32">
        <v>760</v>
      </c>
      <c r="W32">
        <v>22265.333333333336</v>
      </c>
    </row>
    <row r="33" spans="1:23" x14ac:dyDescent="0.3">
      <c r="A33" s="157" t="s">
        <v>573</v>
      </c>
      <c r="B33">
        <v>220</v>
      </c>
      <c r="C33">
        <v>2145</v>
      </c>
      <c r="D33">
        <v>10737.903333333334</v>
      </c>
      <c r="G33">
        <v>140</v>
      </c>
      <c r="I33">
        <v>20000</v>
      </c>
      <c r="K33">
        <v>1382</v>
      </c>
      <c r="L33">
        <v>1031</v>
      </c>
      <c r="M33">
        <v>20666.666666666668</v>
      </c>
      <c r="O33">
        <v>477</v>
      </c>
      <c r="P33">
        <v>944.33333333333337</v>
      </c>
      <c r="R33">
        <v>108044</v>
      </c>
      <c r="V33">
        <v>2000</v>
      </c>
      <c r="W33">
        <v>167787.90333333332</v>
      </c>
    </row>
    <row r="34" spans="1:23" x14ac:dyDescent="0.3">
      <c r="A34" s="202" t="s">
        <v>29</v>
      </c>
      <c r="I34">
        <v>20000</v>
      </c>
      <c r="W34">
        <v>20000</v>
      </c>
    </row>
    <row r="35" spans="1:23" x14ac:dyDescent="0.3">
      <c r="A35" s="202" t="s">
        <v>221</v>
      </c>
      <c r="B35">
        <v>220</v>
      </c>
      <c r="G35">
        <v>140</v>
      </c>
      <c r="K35">
        <v>1382</v>
      </c>
      <c r="L35">
        <v>1031</v>
      </c>
      <c r="M35">
        <v>20666.666666666668</v>
      </c>
      <c r="V35">
        <v>2000</v>
      </c>
      <c r="W35">
        <v>25439.666666666668</v>
      </c>
    </row>
    <row r="36" spans="1:23" x14ac:dyDescent="0.3">
      <c r="A36" s="202" t="s">
        <v>220</v>
      </c>
      <c r="C36">
        <v>2145</v>
      </c>
      <c r="D36">
        <v>10737.903333333334</v>
      </c>
      <c r="O36">
        <v>477</v>
      </c>
      <c r="P36">
        <v>944.33333333333337</v>
      </c>
      <c r="R36">
        <v>108044</v>
      </c>
      <c r="W36">
        <v>122348.23666666666</v>
      </c>
    </row>
    <row r="37" spans="1:23" x14ac:dyDescent="0.3">
      <c r="A37" s="157" t="s">
        <v>106</v>
      </c>
      <c r="B37">
        <v>1380.3</v>
      </c>
      <c r="C37">
        <v>52243.055</v>
      </c>
      <c r="D37">
        <v>95148.946666666656</v>
      </c>
      <c r="E37">
        <v>66995.244999999995</v>
      </c>
      <c r="F37">
        <v>29284.38</v>
      </c>
      <c r="G37">
        <v>22380.963333333337</v>
      </c>
      <c r="H37">
        <v>5324.333333333333</v>
      </c>
      <c r="I37">
        <v>138000</v>
      </c>
      <c r="J37">
        <v>4505.9799999999996</v>
      </c>
      <c r="K37">
        <v>16729.3</v>
      </c>
      <c r="L37">
        <v>8084.666666666667</v>
      </c>
      <c r="M37">
        <v>164935.50333333333</v>
      </c>
      <c r="N37">
        <v>60000</v>
      </c>
      <c r="O37">
        <v>6115</v>
      </c>
      <c r="P37">
        <v>13077.250000000002</v>
      </c>
      <c r="Q37">
        <v>64205.166666666664</v>
      </c>
      <c r="R37">
        <v>141359</v>
      </c>
      <c r="S37">
        <v>670</v>
      </c>
      <c r="T37">
        <v>1500.0033333333331</v>
      </c>
      <c r="U37">
        <v>60000</v>
      </c>
      <c r="V37">
        <v>4000</v>
      </c>
      <c r="W37">
        <v>955939.09333333338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B4BF-CA54-4613-8929-83D8986AE138}">
  <dimension ref="A3:M13"/>
  <sheetViews>
    <sheetView topLeftCell="A10" zoomScale="90" zoomScaleNormal="90" workbookViewId="0">
      <selection activeCell="M39" sqref="M39"/>
    </sheetView>
  </sheetViews>
  <sheetFormatPr defaultRowHeight="14.4" x14ac:dyDescent="0.3"/>
  <cols>
    <col min="1" max="1" width="19.44140625" bestFit="1" customWidth="1"/>
    <col min="2" max="2" width="16.109375" bestFit="1" customWidth="1"/>
    <col min="3" max="3" width="10" bestFit="1" customWidth="1"/>
    <col min="4" max="4" width="13.33203125" bestFit="1" customWidth="1"/>
    <col min="5" max="5" width="11.109375" bestFit="1" customWidth="1"/>
    <col min="6" max="6" width="10" bestFit="1" customWidth="1"/>
    <col min="7" max="7" width="9.44140625" bestFit="1" customWidth="1"/>
    <col min="8" max="8" width="6.44140625" bestFit="1" customWidth="1"/>
    <col min="9" max="9" width="17.77734375" bestFit="1" customWidth="1"/>
    <col min="10" max="10" width="13.33203125" bestFit="1" customWidth="1"/>
    <col min="11" max="11" width="8.88671875" bestFit="1" customWidth="1"/>
    <col min="12" max="12" width="7.88671875" bestFit="1" customWidth="1"/>
    <col min="13" max="15" width="13.33203125" bestFit="1" customWidth="1"/>
    <col min="16" max="16" width="6.6640625" bestFit="1" customWidth="1"/>
    <col min="17" max="17" width="17.77734375" bestFit="1" customWidth="1"/>
    <col min="18" max="18" width="13.33203125" bestFit="1" customWidth="1"/>
    <col min="19" max="19" width="6.6640625" bestFit="1" customWidth="1"/>
    <col min="20" max="20" width="7.88671875" bestFit="1" customWidth="1"/>
    <col min="21" max="21" width="7.44140625" bestFit="1" customWidth="1"/>
    <col min="22" max="22" width="7" bestFit="1" customWidth="1"/>
    <col min="23" max="23" width="13.33203125" bestFit="1" customWidth="1"/>
  </cols>
  <sheetData>
    <row r="3" spans="1:13" x14ac:dyDescent="0.3">
      <c r="A3" s="156" t="s">
        <v>104</v>
      </c>
      <c r="B3" s="156" t="s">
        <v>122</v>
      </c>
    </row>
    <row r="4" spans="1:13" x14ac:dyDescent="0.3">
      <c r="A4" s="156" t="s">
        <v>105</v>
      </c>
      <c r="B4" t="s">
        <v>146</v>
      </c>
      <c r="C4" t="s">
        <v>185</v>
      </c>
      <c r="D4" t="s">
        <v>81</v>
      </c>
      <c r="E4" t="s">
        <v>188</v>
      </c>
      <c r="F4" t="s">
        <v>215</v>
      </c>
      <c r="G4" t="s">
        <v>34</v>
      </c>
      <c r="H4" t="s">
        <v>191</v>
      </c>
      <c r="I4" t="s">
        <v>54</v>
      </c>
      <c r="J4" t="s">
        <v>84</v>
      </c>
      <c r="K4" t="s">
        <v>119</v>
      </c>
      <c r="L4" t="s">
        <v>83</v>
      </c>
      <c r="M4" t="s">
        <v>106</v>
      </c>
    </row>
    <row r="5" spans="1:13" x14ac:dyDescent="0.3">
      <c r="A5" s="157" t="s">
        <v>472</v>
      </c>
      <c r="C5">
        <v>3418.0549999999998</v>
      </c>
      <c r="D5">
        <v>4053</v>
      </c>
      <c r="E5">
        <v>3775.0549999999998</v>
      </c>
      <c r="J5">
        <v>340</v>
      </c>
      <c r="K5">
        <v>2157</v>
      </c>
      <c r="M5">
        <v>13743.11</v>
      </c>
    </row>
    <row r="6" spans="1:13" x14ac:dyDescent="0.3">
      <c r="A6" s="157" t="s">
        <v>473</v>
      </c>
      <c r="B6">
        <v>41.3</v>
      </c>
      <c r="D6">
        <v>3338</v>
      </c>
      <c r="J6">
        <v>1166.6666666666665</v>
      </c>
      <c r="K6">
        <v>10483</v>
      </c>
      <c r="L6">
        <v>300</v>
      </c>
      <c r="M6">
        <v>15328.966666666667</v>
      </c>
    </row>
    <row r="7" spans="1:13" x14ac:dyDescent="0.3">
      <c r="A7" s="157" t="s">
        <v>474</v>
      </c>
      <c r="D7">
        <v>2901.9700000000003</v>
      </c>
      <c r="E7">
        <v>10872.69</v>
      </c>
      <c r="G7">
        <v>746</v>
      </c>
      <c r="J7">
        <v>936</v>
      </c>
      <c r="K7">
        <v>17161</v>
      </c>
      <c r="L7">
        <v>2034</v>
      </c>
      <c r="M7">
        <v>34651.660000000003</v>
      </c>
    </row>
    <row r="8" spans="1:13" x14ac:dyDescent="0.3">
      <c r="A8" s="157" t="s">
        <v>475</v>
      </c>
      <c r="C8">
        <v>400</v>
      </c>
      <c r="D8">
        <v>7098</v>
      </c>
      <c r="E8">
        <v>801</v>
      </c>
      <c r="F8">
        <v>40</v>
      </c>
      <c r="G8">
        <v>1172</v>
      </c>
      <c r="I8">
        <v>119</v>
      </c>
      <c r="J8">
        <v>2774</v>
      </c>
      <c r="K8">
        <v>14176</v>
      </c>
      <c r="L8">
        <v>1370</v>
      </c>
      <c r="M8">
        <v>27950</v>
      </c>
    </row>
    <row r="9" spans="1:13" x14ac:dyDescent="0.3">
      <c r="A9" s="157" t="s">
        <v>333</v>
      </c>
      <c r="C9">
        <v>2807</v>
      </c>
      <c r="F9">
        <v>12800</v>
      </c>
      <c r="K9">
        <v>2200</v>
      </c>
      <c r="M9">
        <v>17807</v>
      </c>
    </row>
    <row r="10" spans="1:13" x14ac:dyDescent="0.3">
      <c r="A10" s="157" t="s">
        <v>490</v>
      </c>
      <c r="F10">
        <v>5734</v>
      </c>
      <c r="K10">
        <v>11202.5</v>
      </c>
      <c r="M10">
        <v>16936.5</v>
      </c>
    </row>
    <row r="11" spans="1:13" x14ac:dyDescent="0.3">
      <c r="A11" s="157" t="s">
        <v>530</v>
      </c>
      <c r="D11">
        <v>2526</v>
      </c>
      <c r="F11">
        <v>3984</v>
      </c>
      <c r="J11">
        <v>992</v>
      </c>
      <c r="M11">
        <v>7502</v>
      </c>
    </row>
    <row r="12" spans="1:13" x14ac:dyDescent="0.3">
      <c r="A12" s="157" t="s">
        <v>528</v>
      </c>
      <c r="D12">
        <v>296.33333333333337</v>
      </c>
      <c r="H12">
        <v>320</v>
      </c>
      <c r="J12">
        <v>232</v>
      </c>
      <c r="M12">
        <v>848.33333333333337</v>
      </c>
    </row>
    <row r="13" spans="1:13" x14ac:dyDescent="0.3">
      <c r="A13" s="157" t="s">
        <v>106</v>
      </c>
      <c r="B13">
        <v>41.3</v>
      </c>
      <c r="C13">
        <v>6625.0550000000003</v>
      </c>
      <c r="D13">
        <v>20213.303333333333</v>
      </c>
      <c r="E13">
        <v>15448.745000000001</v>
      </c>
      <c r="F13">
        <v>22558</v>
      </c>
      <c r="G13">
        <v>1918</v>
      </c>
      <c r="H13">
        <v>320</v>
      </c>
      <c r="I13">
        <v>119</v>
      </c>
      <c r="J13">
        <v>6440.6666666666661</v>
      </c>
      <c r="K13">
        <v>57379.5</v>
      </c>
      <c r="L13">
        <v>3704</v>
      </c>
      <c r="M13">
        <v>134767.57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EF77-9074-42B6-A89F-E92F669F4537}">
  <dimension ref="A1:E17"/>
  <sheetViews>
    <sheetView zoomScale="70" zoomScaleNormal="70" workbookViewId="0">
      <selection activeCell="I33" sqref="I33"/>
    </sheetView>
  </sheetViews>
  <sheetFormatPr defaultRowHeight="14.4" x14ac:dyDescent="0.3"/>
  <cols>
    <col min="1" max="1" width="14.88671875" bestFit="1" customWidth="1"/>
    <col min="2" max="2" width="16.77734375" bestFit="1" customWidth="1"/>
    <col min="3" max="3" width="9.77734375" bestFit="1" customWidth="1"/>
    <col min="4" max="5" width="13.33203125" bestFit="1" customWidth="1"/>
    <col min="6" max="6" width="10" bestFit="1" customWidth="1"/>
    <col min="7" max="7" width="9.44140625" bestFit="1" customWidth="1"/>
    <col min="8" max="8" width="17.77734375" bestFit="1" customWidth="1"/>
    <col min="9" max="9" width="13.33203125" bestFit="1" customWidth="1"/>
    <col min="10" max="10" width="8.88671875" bestFit="1" customWidth="1"/>
    <col min="11" max="11" width="7.88671875" bestFit="1" customWidth="1"/>
    <col min="12" max="15" width="13.33203125" bestFit="1" customWidth="1"/>
    <col min="16" max="16" width="6.6640625" bestFit="1" customWidth="1"/>
    <col min="17" max="17" width="17.77734375" bestFit="1" customWidth="1"/>
    <col min="18" max="18" width="13.33203125" bestFit="1" customWidth="1"/>
    <col min="19" max="19" width="6.6640625" bestFit="1" customWidth="1"/>
    <col min="20" max="20" width="7.88671875" bestFit="1" customWidth="1"/>
    <col min="21" max="21" width="7.44140625" bestFit="1" customWidth="1"/>
    <col min="22" max="22" width="7" bestFit="1" customWidth="1"/>
    <col min="23" max="23" width="13.33203125" bestFit="1" customWidth="1"/>
  </cols>
  <sheetData>
    <row r="1" spans="1:5" x14ac:dyDescent="0.3">
      <c r="A1" s="156" t="s">
        <v>104</v>
      </c>
      <c r="B1" s="156" t="s">
        <v>122</v>
      </c>
    </row>
    <row r="2" spans="1:5" x14ac:dyDescent="0.3">
      <c r="A2" s="156" t="s">
        <v>105</v>
      </c>
      <c r="B2" t="s">
        <v>81</v>
      </c>
      <c r="C2" t="s">
        <v>215</v>
      </c>
      <c r="D2" t="s">
        <v>84</v>
      </c>
      <c r="E2" t="s">
        <v>106</v>
      </c>
    </row>
    <row r="3" spans="1:5" x14ac:dyDescent="0.3">
      <c r="A3" s="157" t="s">
        <v>491</v>
      </c>
      <c r="B3">
        <v>729</v>
      </c>
      <c r="C3">
        <v>328</v>
      </c>
      <c r="D3">
        <v>69</v>
      </c>
      <c r="E3">
        <v>1126</v>
      </c>
    </row>
    <row r="4" spans="1:5" x14ac:dyDescent="0.3">
      <c r="A4" s="202" t="s">
        <v>501</v>
      </c>
      <c r="B4">
        <v>729</v>
      </c>
      <c r="C4">
        <v>328</v>
      </c>
      <c r="D4">
        <v>69</v>
      </c>
      <c r="E4">
        <v>1126</v>
      </c>
    </row>
    <row r="5" spans="1:5" x14ac:dyDescent="0.3">
      <c r="A5" s="157" t="s">
        <v>494</v>
      </c>
      <c r="B5">
        <v>353.66666666666663</v>
      </c>
      <c r="C5">
        <v>1934.43</v>
      </c>
      <c r="D5">
        <v>789.66666666666663</v>
      </c>
      <c r="E5">
        <v>3077.7633333333333</v>
      </c>
    </row>
    <row r="6" spans="1:5" x14ac:dyDescent="0.3">
      <c r="A6" s="202" t="s">
        <v>479</v>
      </c>
      <c r="B6">
        <v>149.66666666666666</v>
      </c>
      <c r="D6">
        <v>100.66666666666666</v>
      </c>
      <c r="E6">
        <v>250.33333333333331</v>
      </c>
    </row>
    <row r="7" spans="1:5" x14ac:dyDescent="0.3">
      <c r="A7" s="202" t="s">
        <v>357</v>
      </c>
      <c r="C7">
        <v>1287</v>
      </c>
      <c r="D7">
        <v>492</v>
      </c>
      <c r="E7">
        <v>1779</v>
      </c>
    </row>
    <row r="8" spans="1:5" x14ac:dyDescent="0.3">
      <c r="A8" s="202" t="s">
        <v>501</v>
      </c>
      <c r="B8">
        <v>204</v>
      </c>
      <c r="C8">
        <v>647.43000000000006</v>
      </c>
      <c r="D8">
        <v>197</v>
      </c>
      <c r="E8">
        <v>1048.43</v>
      </c>
    </row>
    <row r="9" spans="1:5" x14ac:dyDescent="0.3">
      <c r="A9" s="157" t="s">
        <v>495</v>
      </c>
      <c r="B9">
        <v>402</v>
      </c>
      <c r="C9">
        <v>519</v>
      </c>
      <c r="D9">
        <v>341</v>
      </c>
      <c r="E9">
        <v>1262</v>
      </c>
    </row>
    <row r="10" spans="1:5" x14ac:dyDescent="0.3">
      <c r="A10" s="202" t="s">
        <v>479</v>
      </c>
      <c r="B10">
        <v>312</v>
      </c>
      <c r="E10">
        <v>312</v>
      </c>
    </row>
    <row r="11" spans="1:5" x14ac:dyDescent="0.3">
      <c r="A11" s="202" t="s">
        <v>357</v>
      </c>
      <c r="C11">
        <v>290</v>
      </c>
      <c r="D11">
        <v>138</v>
      </c>
      <c r="E11">
        <v>428</v>
      </c>
    </row>
    <row r="12" spans="1:5" x14ac:dyDescent="0.3">
      <c r="A12" s="202" t="s">
        <v>501</v>
      </c>
      <c r="B12">
        <v>90</v>
      </c>
      <c r="C12">
        <v>229</v>
      </c>
      <c r="D12">
        <v>203</v>
      </c>
      <c r="E12">
        <v>522</v>
      </c>
    </row>
    <row r="13" spans="1:5" x14ac:dyDescent="0.3">
      <c r="A13" s="157" t="s">
        <v>496</v>
      </c>
      <c r="B13">
        <v>811.66666666666674</v>
      </c>
      <c r="C13">
        <v>1296</v>
      </c>
      <c r="D13">
        <v>245</v>
      </c>
      <c r="E13">
        <v>2352.666666666667</v>
      </c>
    </row>
    <row r="14" spans="1:5" x14ac:dyDescent="0.3">
      <c r="A14" s="202" t="s">
        <v>479</v>
      </c>
      <c r="B14">
        <v>811.66666666666674</v>
      </c>
      <c r="D14">
        <v>45</v>
      </c>
      <c r="E14">
        <v>856.66666666666674</v>
      </c>
    </row>
    <row r="15" spans="1:5" x14ac:dyDescent="0.3">
      <c r="A15" s="202" t="s">
        <v>357</v>
      </c>
      <c r="C15">
        <v>915</v>
      </c>
      <c r="D15">
        <v>53</v>
      </c>
      <c r="E15">
        <v>968</v>
      </c>
    </row>
    <row r="16" spans="1:5" x14ac:dyDescent="0.3">
      <c r="A16" s="202" t="s">
        <v>501</v>
      </c>
      <c r="C16">
        <v>381</v>
      </c>
      <c r="D16">
        <v>147</v>
      </c>
      <c r="E16">
        <v>528</v>
      </c>
    </row>
    <row r="17" spans="1:5" x14ac:dyDescent="0.3">
      <c r="A17" s="157" t="s">
        <v>106</v>
      </c>
      <c r="B17">
        <v>2296.333333333333</v>
      </c>
      <c r="C17">
        <v>4077.4300000000003</v>
      </c>
      <c r="D17">
        <v>1444.6666666666665</v>
      </c>
      <c r="E17">
        <v>7818.43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D878-9B85-4DA0-95D1-8D72A4F18814}">
  <dimension ref="A3:E12"/>
  <sheetViews>
    <sheetView topLeftCell="A7" zoomScale="110" zoomScaleNormal="110" workbookViewId="0">
      <selection activeCell="F20" sqref="F20"/>
    </sheetView>
  </sheetViews>
  <sheetFormatPr defaultRowHeight="14.4" x14ac:dyDescent="0.3"/>
  <cols>
    <col min="1" max="1" width="14.44140625" bestFit="1" customWidth="1"/>
    <col min="2" max="2" width="15.5546875" bestFit="1" customWidth="1"/>
    <col min="3" max="7" width="12" bestFit="1" customWidth="1"/>
    <col min="8" max="8" width="5" bestFit="1" customWidth="1"/>
    <col min="9" max="9" width="6" bestFit="1" customWidth="1"/>
    <col min="10" max="11" width="3" bestFit="1" customWidth="1"/>
    <col min="12" max="12" width="4" bestFit="1" customWidth="1"/>
    <col min="13" max="13" width="3" bestFit="1" customWidth="1"/>
    <col min="14" max="14" width="4" bestFit="1" customWidth="1"/>
    <col min="15" max="16" width="3" bestFit="1" customWidth="1"/>
    <col min="17" max="17" width="4" bestFit="1" customWidth="1"/>
    <col min="18" max="18" width="3" bestFit="1" customWidth="1"/>
    <col min="19" max="19" width="4" bestFit="1" customWidth="1"/>
    <col min="20"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5" x14ac:dyDescent="0.3">
      <c r="A3" s="156" t="s">
        <v>104</v>
      </c>
      <c r="B3" s="156" t="s">
        <v>122</v>
      </c>
    </row>
    <row r="4" spans="1:5" x14ac:dyDescent="0.3">
      <c r="A4" s="156" t="s">
        <v>105</v>
      </c>
      <c r="B4" t="s">
        <v>29</v>
      </c>
      <c r="C4" t="s">
        <v>221</v>
      </c>
      <c r="D4" t="s">
        <v>220</v>
      </c>
      <c r="E4" t="s">
        <v>106</v>
      </c>
    </row>
    <row r="5" spans="1:5" x14ac:dyDescent="0.3">
      <c r="A5" s="157" t="s">
        <v>491</v>
      </c>
      <c r="B5">
        <v>1000</v>
      </c>
      <c r="C5">
        <v>41565.060000000005</v>
      </c>
      <c r="D5">
        <v>33412.526666666672</v>
      </c>
      <c r="E5">
        <v>75977.58666666667</v>
      </c>
    </row>
    <row r="6" spans="1:5" x14ac:dyDescent="0.3">
      <c r="A6" s="157" t="s">
        <v>492</v>
      </c>
      <c r="B6">
        <v>5000</v>
      </c>
      <c r="C6">
        <v>45927.996666666673</v>
      </c>
      <c r="D6">
        <v>22521.333333333336</v>
      </c>
      <c r="E6">
        <v>73449.330000000016</v>
      </c>
    </row>
    <row r="7" spans="1:5" x14ac:dyDescent="0.3">
      <c r="A7" s="157" t="s">
        <v>493</v>
      </c>
      <c r="B7">
        <v>15000</v>
      </c>
      <c r="C7">
        <v>29688.993333333332</v>
      </c>
      <c r="D7">
        <v>81258.213333333333</v>
      </c>
      <c r="E7">
        <v>125947.20666666667</v>
      </c>
    </row>
    <row r="8" spans="1:5" x14ac:dyDescent="0.3">
      <c r="A8" s="157" t="s">
        <v>494</v>
      </c>
      <c r="B8">
        <v>15000</v>
      </c>
      <c r="C8">
        <v>45595</v>
      </c>
      <c r="D8">
        <v>50409.893333333326</v>
      </c>
      <c r="E8">
        <v>111004.89333333333</v>
      </c>
    </row>
    <row r="9" spans="1:5" x14ac:dyDescent="0.3">
      <c r="A9" s="157" t="s">
        <v>495</v>
      </c>
      <c r="B9">
        <v>130000</v>
      </c>
      <c r="C9">
        <v>27299.666666666668</v>
      </c>
      <c r="D9">
        <v>50466</v>
      </c>
      <c r="E9">
        <v>207765.66666666666</v>
      </c>
    </row>
    <row r="10" spans="1:5" x14ac:dyDescent="0.3">
      <c r="A10" s="157" t="s">
        <v>496</v>
      </c>
      <c r="B10">
        <v>35000</v>
      </c>
      <c r="C10">
        <v>45420.5</v>
      </c>
      <c r="D10">
        <v>27535.673333333336</v>
      </c>
      <c r="E10">
        <v>107956.17333333334</v>
      </c>
    </row>
    <row r="11" spans="1:5" x14ac:dyDescent="0.3">
      <c r="A11" s="157" t="s">
        <v>516</v>
      </c>
      <c r="B11">
        <v>37000</v>
      </c>
      <c r="C11">
        <v>26785</v>
      </c>
      <c r="D11">
        <v>22265.333333333336</v>
      </c>
      <c r="E11">
        <v>86050.333333333343</v>
      </c>
    </row>
    <row r="12" spans="1:5" x14ac:dyDescent="0.3">
      <c r="A12" s="157" t="s">
        <v>106</v>
      </c>
      <c r="B12">
        <v>238000</v>
      </c>
      <c r="C12">
        <v>262282.21666666667</v>
      </c>
      <c r="D12">
        <v>287868.97333333333</v>
      </c>
      <c r="E12">
        <v>788151.19000000006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Detailed Budget</vt:lpstr>
      <vt:lpstr>Budget</vt:lpstr>
      <vt:lpstr>Expenses Reference</vt:lpstr>
      <vt:lpstr>Expenses</vt:lpstr>
      <vt:lpstr>Monthly Expenses (stacked)</vt:lpstr>
      <vt:lpstr>Monthly Expenses</vt:lpstr>
      <vt:lpstr>Purpose-Wise Expenses</vt:lpstr>
      <vt:lpstr>Monthly Purpose-Wise Expenses</vt:lpstr>
      <vt:lpstr>Monthly Category-Wise Expenses</vt:lpstr>
      <vt:lpstr>Category-Wise Expenses</vt:lpstr>
      <vt:lpstr>Sub-Category-Wise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Samridh Anand Paatni</dc:creator>
  <cp:lastModifiedBy>samridh.anand.paatni@outlook.com</cp:lastModifiedBy>
  <dcterms:created xsi:type="dcterms:W3CDTF">2015-06-05T18:17:20Z</dcterms:created>
  <dcterms:modified xsi:type="dcterms:W3CDTF">2025-03-29T07:19:02Z</dcterms:modified>
</cp:coreProperties>
</file>