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ag\Desktop\College1\College\Summer 2023\CIS 180 (Spreadsheet Applications\M6\"/>
    </mc:Choice>
  </mc:AlternateContent>
  <xr:revisionPtr revIDLastSave="0" documentId="8_{07FE2AC0-681F-4FFD-A2F3-5F6B320B59CA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Details" sheetId="1" r:id="rId1"/>
    <sheet name="Map" sheetId="7" r:id="rId2"/>
    <sheet name="Loan" sheetId="8" r:id="rId3"/>
  </sheets>
  <definedNames>
    <definedName name="_xlnm._FilterDatabase" localSheetId="0" hidden="1">Details!$A$11:$K$40</definedName>
    <definedName name="_xlchart.v5.0" hidden="1">Map!$B$1</definedName>
    <definedName name="_xlchart.v5.1" hidden="1">Map!$B$2:$B$5</definedName>
    <definedName name="_xlchart.v5.10" hidden="1">Map!$C$1</definedName>
    <definedName name="_xlchart.v5.11" hidden="1">Map!$C$2:$C$5</definedName>
    <definedName name="_xlchart.v5.12" hidden="1">Map!$B$1</definedName>
    <definedName name="_xlchart.v5.13" hidden="1">Map!$B$2:$B$5</definedName>
    <definedName name="_xlchart.v5.14" hidden="1">Map!$C$1</definedName>
    <definedName name="_xlchart.v5.15" hidden="1">Map!$C$2:$C$5</definedName>
    <definedName name="_xlchart.v5.16" hidden="1">Map!$B$1</definedName>
    <definedName name="_xlchart.v5.17" hidden="1">Map!$B$2:$B$5</definedName>
    <definedName name="_xlchart.v5.18" hidden="1">Map!$C$1</definedName>
    <definedName name="_xlchart.v5.19" hidden="1">Map!$C$2:$C$5</definedName>
    <definedName name="_xlchart.v5.2" hidden="1">Map!$C$1</definedName>
    <definedName name="_xlchart.v5.20" hidden="1">Map!$A$1:$B$1</definedName>
    <definedName name="_xlchart.v5.21" hidden="1">Map!$A$2:$B$5</definedName>
    <definedName name="_xlchart.v5.22" hidden="1">Map!$C$1</definedName>
    <definedName name="_xlchart.v5.23" hidden="1">Map!$C$2:$C$5</definedName>
    <definedName name="_xlchart.v5.24" hidden="1">Map!$B$1</definedName>
    <definedName name="_xlchart.v5.25" hidden="1">Map!$B$2:$B$5</definedName>
    <definedName name="_xlchart.v5.26" hidden="1">Map!$C$1</definedName>
    <definedName name="_xlchart.v5.27" hidden="1">Map!$C$2:$C$5</definedName>
    <definedName name="_xlchart.v5.28" hidden="1">Map!$B$1</definedName>
    <definedName name="_xlchart.v5.29" hidden="1">Map!$B$2:$B$5</definedName>
    <definedName name="_xlchart.v5.3" hidden="1">Map!$C$2:$C$5</definedName>
    <definedName name="_xlchart.v5.30" hidden="1">Map!$C$1</definedName>
    <definedName name="_xlchart.v5.31" hidden="1">Map!$C$2:$C$5</definedName>
    <definedName name="_xlchart.v5.32" hidden="1">Map!$B$1</definedName>
    <definedName name="_xlchart.v5.33" hidden="1">Map!$B$2:$B$5</definedName>
    <definedName name="_xlchart.v5.34" hidden="1">Map!$C$1</definedName>
    <definedName name="_xlchart.v5.35" hidden="1">Map!$C$2:$C$5</definedName>
    <definedName name="_xlchart.v5.36" hidden="1">Map!$B$1</definedName>
    <definedName name="_xlchart.v5.37" hidden="1">Map!$B$2:$B$5</definedName>
    <definedName name="_xlchart.v5.38" hidden="1">Map!$C$1</definedName>
    <definedName name="_xlchart.v5.39" hidden="1">Map!$C$2:$C$5</definedName>
    <definedName name="_xlchart.v5.4" hidden="1">Map!$B$1</definedName>
    <definedName name="_xlchart.v5.40" hidden="1">Map!$B$1</definedName>
    <definedName name="_xlchart.v5.41" hidden="1">Map!$B$2:$B$5</definedName>
    <definedName name="_xlchart.v5.42" hidden="1">Map!$C$1</definedName>
    <definedName name="_xlchart.v5.43" hidden="1">Map!$C$2:$C$5</definedName>
    <definedName name="_xlchart.v5.5" hidden="1">Map!$B$2:$B$5</definedName>
    <definedName name="_xlchart.v5.6" hidden="1">Map!$C$1</definedName>
    <definedName name="_xlchart.v5.7" hidden="1">Map!$C$2:$C$5</definedName>
    <definedName name="_xlchart.v5.8" hidden="1">Map!$B$1</definedName>
    <definedName name="_xlchart.v5.9" hidden="1">Map!$B$2:$B$5</definedName>
    <definedName name="_xlnm.Print_Titles" localSheetId="0">Details!$11:$11</definedName>
  </definedNames>
  <calcPr calcId="191029" concurrentCalc="0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8" l="1"/>
  <c r="B27" i="8"/>
  <c r="B23" i="8"/>
  <c r="B22" i="8"/>
  <c r="D9" i="8"/>
  <c r="D10" i="8"/>
  <c r="D11" i="8"/>
  <c r="D12" i="8"/>
  <c r="D13" i="8"/>
  <c r="D14" i="8"/>
  <c r="D15" i="8"/>
  <c r="D16" i="8"/>
  <c r="D17" i="8"/>
  <c r="D18" i="8"/>
  <c r="D19" i="8"/>
  <c r="C9" i="8"/>
  <c r="C10" i="8"/>
  <c r="C11" i="8"/>
  <c r="C12" i="8"/>
  <c r="C13" i="8"/>
  <c r="C14" i="8"/>
  <c r="C15" i="8"/>
  <c r="C16" i="8"/>
  <c r="C17" i="8"/>
  <c r="C18" i="8"/>
  <c r="C19" i="8"/>
  <c r="C8" i="8"/>
  <c r="D8" i="8"/>
  <c r="B9" i="8"/>
  <c r="B10" i="8"/>
  <c r="B11" i="8"/>
  <c r="B12" i="8"/>
  <c r="B13" i="8"/>
  <c r="B14" i="8"/>
  <c r="B15" i="8"/>
  <c r="B16" i="8"/>
  <c r="B17" i="8"/>
  <c r="B18" i="8"/>
  <c r="B19" i="8"/>
  <c r="B8" i="8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12" i="1" a="1"/>
  <c r="K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12" i="1"/>
  <c r="H3" i="1"/>
  <c r="H4" i="1"/>
  <c r="H2" i="1"/>
  <c r="G3" i="1"/>
  <c r="G4" i="1"/>
  <c r="G2" i="1"/>
  <c r="F3" i="1"/>
  <c r="F4" i="1"/>
  <c r="F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12" i="1" a="1"/>
  <c r="E12" i="1"/>
  <c r="B8" i="1"/>
  <c r="B9" i="1"/>
  <c r="B7" i="1"/>
  <c r="C3" i="1"/>
  <c r="C4" i="1"/>
  <c r="C5" i="1"/>
  <c r="C2" i="1"/>
  <c r="B3" i="1"/>
  <c r="B4" i="1"/>
  <c r="B5" i="1"/>
  <c r="B2" i="1"/>
  <c r="B3" i="8"/>
  <c r="B4" i="8"/>
  <c r="B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<sst xmlns="http://schemas.openxmlformats.org/spreadsheetml/2006/main" count="148" uniqueCount="52">
  <si>
    <t>City</t>
  </si>
  <si>
    <t>Selling Agent</t>
  </si>
  <si>
    <t>Sale Date</t>
  </si>
  <si>
    <t>Listing Date</t>
  </si>
  <si>
    <t>Carey</t>
  </si>
  <si>
    <t>Pijuan</t>
  </si>
  <si>
    <t>Hernandez</t>
  </si>
  <si>
    <t>Number</t>
  </si>
  <si>
    <t>Cedar Hills</t>
  </si>
  <si>
    <t>Lehi</t>
  </si>
  <si>
    <t>Alpine</t>
  </si>
  <si>
    <t>American Fork</t>
  </si>
  <si>
    <t>Days on Market</t>
  </si>
  <si>
    <t>List Price</t>
  </si>
  <si>
    <t>Agent Type</t>
  </si>
  <si>
    <t>Dual Agency</t>
  </si>
  <si>
    <t>Seller's Agent</t>
  </si>
  <si>
    <t>Buyer's Agent</t>
  </si>
  <si>
    <t>DA</t>
  </si>
  <si>
    <t>SA</t>
  </si>
  <si>
    <t>BA</t>
  </si>
  <si>
    <t>Agent Commission</t>
  </si>
  <si>
    <t>Total Commission by Agent</t>
  </si>
  <si>
    <t>Location</t>
  </si>
  <si>
    <t>Average Selling Price</t>
  </si>
  <si>
    <t>Number Sold</t>
  </si>
  <si>
    <t>Bonus</t>
  </si>
  <si>
    <t>Input for Bonus</t>
  </si>
  <si>
    <t>Percent of List</t>
  </si>
  <si>
    <t>Agent Codes and Commission Rates</t>
  </si>
  <si>
    <t>Dual Agent</t>
  </si>
  <si>
    <t>Postal Code</t>
  </si>
  <si>
    <t>Total # Sold</t>
  </si>
  <si>
    <t>Sold Price</t>
  </si>
  <si>
    <t>Average Sold Price</t>
  </si>
  <si>
    <t>Highest Sold Price</t>
  </si>
  <si>
    <t>Total Sold Prices</t>
  </si>
  <si>
    <t>APR</t>
  </si>
  <si>
    <t>NPER</t>
  </si>
  <si>
    <t>Monthly Payment</t>
  </si>
  <si>
    <t>Payment Number</t>
  </si>
  <si>
    <t>Beg Balance</t>
  </si>
  <si>
    <t>Interest</t>
  </si>
  <si>
    <t>Monthly Rate</t>
  </si>
  <si>
    <t>Principal</t>
  </si>
  <si>
    <t>Cumulative Totals after Year 1</t>
  </si>
  <si>
    <t>Principal Paid</t>
  </si>
  <si>
    <t>Loan (PV)</t>
  </si>
  <si>
    <t>What if the goal is $1,400 monthly payment?</t>
  </si>
  <si>
    <t>Monthly Rate Needed</t>
  </si>
  <si>
    <t>APR Needed</t>
  </si>
  <si>
    <t>Bonus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</si>
</sst>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 tint="0.7999816888943144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right" indent="2"/>
    </xf>
    <xf numFmtId="164" fontId="1" fillId="0" borderId="0" xfId="1" applyNumberFormat="1" applyFont="1" applyFill="1" applyBorder="1" applyAlignment="1"/>
    <xf numFmtId="14" fontId="1" fillId="0" borderId="0" xfId="0" applyNumberFormat="1" applyFont="1"/>
    <xf numFmtId="0" fontId="2" fillId="0" borderId="0" xfId="0" applyFont="1"/>
    <xf numFmtId="10" fontId="0" fillId="0" borderId="0" xfId="0" applyNumberFormat="1"/>
    <xf numFmtId="10" fontId="0" fillId="0" borderId="0" xfId="2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0" applyNumberFormat="1"/>
    <xf numFmtId="165" fontId="1" fillId="0" borderId="0" xfId="3" applyNumberFormat="1" applyFont="1" applyFill="1" applyBorder="1" applyAlignment="1"/>
    <xf numFmtId="0" fontId="6" fillId="0" borderId="4" xfId="0" applyFont="1" applyBorder="1" applyAlignment="1">
      <alignment horizontal="left"/>
    </xf>
    <xf numFmtId="164" fontId="0" fillId="0" borderId="0" xfId="1" applyNumberFormat="1" applyFont="1" applyBorder="1"/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left"/>
    </xf>
    <xf numFmtId="164" fontId="0" fillId="0" borderId="7" xfId="1" applyNumberFormat="1" applyFont="1" applyBorder="1"/>
    <xf numFmtId="0" fontId="6" fillId="0" borderId="9" xfId="0" applyFont="1" applyBorder="1" applyAlignment="1">
      <alignment horizontal="left"/>
    </xf>
    <xf numFmtId="164" fontId="0" fillId="0" borderId="5" xfId="1" applyNumberFormat="1" applyFont="1" applyBorder="1"/>
    <xf numFmtId="0" fontId="6" fillId="0" borderId="10" xfId="0" applyFont="1" applyBorder="1" applyAlignment="1">
      <alignment horizontal="left"/>
    </xf>
    <xf numFmtId="164" fontId="0" fillId="0" borderId="8" xfId="1" applyNumberFormat="1" applyFont="1" applyBorder="1"/>
    <xf numFmtId="0" fontId="6" fillId="0" borderId="0" xfId="0" applyFont="1" applyAlignment="1">
      <alignment horizontal="left"/>
    </xf>
    <xf numFmtId="0" fontId="2" fillId="0" borderId="9" xfId="0" applyFont="1" applyBorder="1"/>
    <xf numFmtId="9" fontId="2" fillId="0" borderId="9" xfId="0" applyNumberFormat="1" applyFont="1" applyBorder="1"/>
    <xf numFmtId="0" fontId="2" fillId="0" borderId="10" xfId="0" applyFont="1" applyBorder="1"/>
    <xf numFmtId="0" fontId="2" fillId="0" borderId="7" xfId="0" applyFont="1" applyBorder="1"/>
    <xf numFmtId="44" fontId="0" fillId="0" borderId="0" xfId="1" applyFont="1" applyFill="1"/>
    <xf numFmtId="14" fontId="0" fillId="0" borderId="0" xfId="0" applyNumberFormat="1"/>
    <xf numFmtId="0" fontId="0" fillId="0" borderId="7" xfId="0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/>
    <xf numFmtId="0" fontId="3" fillId="3" borderId="2" xfId="0" applyFont="1" applyFill="1" applyBorder="1"/>
    <xf numFmtId="0" fontId="3" fillId="3" borderId="3" xfId="0" applyFont="1" applyFill="1" applyBorder="1" applyAlignment="1">
      <alignment horizontal="center" wrapText="1"/>
    </xf>
    <xf numFmtId="0" fontId="0" fillId="3" borderId="2" xfId="0" applyFill="1" applyBorder="1"/>
    <xf numFmtId="0" fontId="0" fillId="3" borderId="3" xfId="0" applyFill="1" applyBorder="1"/>
    <xf numFmtId="10" fontId="0" fillId="0" borderId="5" xfId="2" applyNumberFormat="1" applyFont="1" applyBorder="1" applyAlignment="1">
      <alignment horizontal="center"/>
    </xf>
    <xf numFmtId="10" fontId="2" fillId="0" borderId="5" xfId="2" applyNumberFormat="1" applyFont="1" applyBorder="1" applyAlignment="1">
      <alignment horizontal="center"/>
    </xf>
    <xf numFmtId="10" fontId="0" fillId="0" borderId="8" xfId="2" applyNumberFormat="1" applyFont="1" applyBorder="1" applyAlignment="1">
      <alignment horizontal="center"/>
    </xf>
    <xf numFmtId="8" fontId="0" fillId="0" borderId="0" xfId="0" applyNumberFormat="1"/>
    <xf numFmtId="165" fontId="0" fillId="0" borderId="0" xfId="3" applyNumberFormat="1" applyFont="1"/>
    <xf numFmtId="0" fontId="0" fillId="0" borderId="0" xfId="0" applyAlignment="1">
      <alignment horizontal="right" indent="4"/>
    </xf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3" fillId="2" borderId="0" xfId="0" applyFont="1" applyFill="1"/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7" fillId="3" borderId="1" xfId="0" applyFont="1" applyFill="1" applyBorder="1" applyAlignment="1">
      <alignment horizontal="left"/>
    </xf>
    <xf numFmtId="9" fontId="0" fillId="0" borderId="5" xfId="0" applyNumberFormat="1" applyBorder="1" applyAlignment="1">
      <alignment horizontal="right"/>
    </xf>
    <xf numFmtId="1" fontId="0" fillId="0" borderId="5" xfId="3" applyNumberFormat="1" applyFont="1" applyBorder="1" applyAlignment="1">
      <alignment horizontal="right"/>
    </xf>
    <xf numFmtId="0" fontId="8" fillId="0" borderId="0" xfId="0" applyFont="1" applyAlignment="1">
      <alignment vertical="center"/>
    </xf>
    <xf numFmtId="10" fontId="2" fillId="0" borderId="0" xfId="2" applyNumberFormat="1" applyFon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_xlchart.v5.33</cx:f>
        <cx:nf>_xlchart.v5.32</cx:nf>
      </cx:strDim>
      <cx:numDim type="colorVal">
        <cx:f>_xlchart.v5.35</cx:f>
        <cx:nf>_xlchart.v5.34</cx:nf>
      </cx:numDim>
    </cx:data>
  </cx:chartData>
  <cx:chart>
    <cx:title pos="t" align="ctr" overlay="0">
      <cx:tx>
        <cx:txData>
          <cx:v>Average Selling Price by Zip Code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Selling Price by Zip Code</a:t>
          </a:r>
        </a:p>
      </cx:txPr>
    </cx:title>
    <cx:plotArea>
      <cx:plotAreaRegion>
        <cx:series layoutId="regionMap" uniqueId="{D8EAA739-7165-4213-9A27-939838E0FCA5}">
          <cx:dataId val="0"/>
          <cx:layoutPr>
            <cx:regionLabelLayout val="showAll"/>
            <cx:geography viewedRegionType="dataOnly" cultureLanguage="en-US" cultureRegion="US" attribution="Powered by Bing">
              <cx:geoCache provider="{E9337A44-BEBE-4D9F-B70C-5C5E7DAFC167}">
                <cx:binary>zHvXktw4luivKPS8VAMEDTixPRED0CXTlLcvjKyqFL0H7d/sx9z/uodMlbKUavVuT3TcvaUSCt4c
HH/A/3wd/vGaHvb1pyFL8+Yfr8Pvn0Mhyn/89lvzGh6yffMli17roim+ii+vRfZb8fVr9Hr47a3e
91Ee/CYjrPz2Gu5rcRg+//M/YbbgUGyK172IivyqPdTj9aFpU9H8SdsfNn0qi0bsU168HX7/TBWk
kM+fDrmIxHg7llB1av786bfzGX5a7VMKGxLtPJeCvigYEyxjdPxRPn9Kizz41ixhjL9QHcmKRo33
JXf77H0X//Hp7va9+qedLPvYv73Vh6b59O3vt90fx+3fsig3o0bU0av4/fM81Q9VMtSJffiJF20u
xs+fXue/MwwDACe05ZE4vH26EXtxaD7/EYhSAH0KQPr98+YQRp8/RU2xzFWPR0je3Szg+u3HizqH
3wdwSbL6BatEp7qGjOWH/ggvFX3BRFOpKitHeMrv4PkBaqzeT1H63vTXIPc+9gdQ/f758vonAL33
PGHHd+Q5QeayyMX+kwNI3ex/hhCDWQGhfoLQWQWg2FnNB2w/h+d/13R+k9p3GP4EqL+M7ERXVVlT
yPFy8I+XNyO7rqg6lmW6dID2I5V9vzxN/vdQ/n3c2aX9vSg/A+rDxQIja/a5mO+2O/x8tf8W8iOK
DEWnP2O9jAghVMNHqtD/EHDv+PgLzvVLfjED733sGQD/51h/Bpz/77EeASf+BaD+MtYrKjYolU+X
c87idR14GlXU9yW/4ztS/j18fx93dl1/L77PIDrh+7/SMsr/DjxXNeDxGMCFv/FwELYfACaTL6qh
UIqRekT2nwXjfPpNJMJ2n0fAVH9xjb/E97PhZzC8ifZtGrU/y0qvyKP/819J1Hx6l6mftm0evUbl
IgR/Eg8fdngmIX4E7Pd5f+YhGxDZ/9viAf2NuhAxFEMh77L7x3tfdCHdUCnRv5PmiU7Iv0kn38ad
3fHfTCfLQd5VoX9lB9C39vknu6iTn6/0L4sFon0xdGTIFBvfVZ6P5KJ80WWi0Xegop+F6icEUHDq
w+EVyPevEssPg8/AeFO0IjzU+ad/HYLDPv+ZZLZRWjQ/Ecb7Vs6oAlb6yG9uoq/5PPhcqXT+N1Sm
P1eNfwALPmraH+H8Q/tftCCI8YXIID3QOzsE2f/h+heq0XQqy7Kmvd/ukWxm3f695qjZ/biPP+aP
x1E/9Dwe6M9BcH5Lv0LzMzX2v1Fsz3p/0Gy/G13mXuytxVT7H7e+K8xnQ39FGt/qV2+/f1YRxYqh
UYVqmmoQleqAst8Nwnm+b52/M66TJfnL8aBGgnV2NAVlpMuKAtMiRQO51x++NxmyoWmKhjHFmgI0
nhe1CI8Gpo51BcbJmqrJoGI0M1UuLURViQymlAaGM9bl7ybzZZGOQZF/h+G38qe8zS6LKBfN758x
BmW3PPY77VwnBlVkWM7QdcC28nV/DXb53P0/2sqvRBBW6c4vu72YypS1imHGJF9rQ2RLSedMBJtE
Tcyx8HeyImzZEC997Fu1mL5WfbnNdY23SmhLvvZGJGwPWX4tK80tGUPuR1apJqzGB1L6PAont0ft
ahgVN2+KiBVxY2aSZovsVmnFdYck3o7EFnFstprKqYFsOdxqect7Lc5sRdYDUyODweK6dws9H5kI
qF3GikeE9obVrjF7nESWrse6IzVVwIYgDDjOqG2MqiXLPmIEVZYqVw3zszK3tT5vWN9GiV03va2U
cm4aA3kx2lbmZdTumoIyKhJHFIMtKOFF7WssM/Rtnfc1j2ti1aS6oQIPHMMJmlTepV3o5Hh8q0nM
yri8LwG4FZ5MvYtMHHduQno7CTveYvmibgs+BdgOgtGM0Mh6nHIDUbOL0rUc62YRNW4oCT4KzUwE
3WlqZE5Jbmb+EHGtIyOPy7tMs1Gj5bymF6ku8apJxM1HBeQHvHktyrGOgvCbt+V78Z+3RQa/i8F6
qvyxeCL7mWa+G7dnBHl05vyCWv+08QdS/oGXvTPEGaeJosmAxb+m348c9MOAd4JFxhcEHIFSpGFV
JgqoLd8JVvmCNCQbKkaKQZECTPudYOUvCAOvpuDhAHMOz7T8jWKJ/mWW8ASpWFd1ioGY3w//A+TB
6fUHFCuD5nROsopBCCIK0ogC7IOckWxRFVFYjHTcalgKWZoERcp0lZbeh6ymt3nKuqitvGP2vIOS
OiRjemv3TTJlvNCnyyhUKWuMQji53vJM6437rlB7uy2UTTBWkZOP0mWo496tW7qpa6n3FF+hloSn
r0MhRZf5ONUcj2PkNEMSgyIlaVxSppBpQ6BzUsujE+vBLpv61uvD+CmUpscQxzpL/T5yS0VKWNIP
jpy1lZ3phsINBTdOWmmJmbUJYk3UqxNfTkIzIy8ulqyECzrdLFklm9JuTaeiNztfNCyUSu3bgKhN
30HxYZpl1AcoLb2WSqRRJ2om7LRx2CFLn/zCw0mldY9L1m/71FaU8FadG5aqJUkCufBQnpd/WKf0
Ioa7moekiv+eVaQuSdkycmlahp+KS91pmXwZuJR/yv756qcNLrkgKtXVGNXDSvR16SEald6S6+bi
kjs1NAn6VnfqF6hlmrKzIafmZchSDNM05ChKEf+jzljVpunY8mHGY+0yXA10WGfJRjrrpio8bvZs
T6f1Tns/O0o4I4UkK515GlsOCkB/KYc+lXledj4rx9FPWL6k0TjlXq/EgJ1LNk1p7mlZ5aVBXThL
1bFjPjecuhznWHofO83Np+KH5qQJYbVWSQrvmF16nU23FH/dvCzxYZeB8AMWGlHRMyPNKxZLVe4l
81GWnlUg0YQZvVSatcAdO5aLJvrWaem+FCcpjL3+ehm6VJxmmjQBkyzldJ5+yZ1G5llvJOw0hkqt
xtpMjlkdSheklCpP4LxOmXrKtn5eexmWK29pH/IsMUvVQKyXgoCrOCFm1+qK2UtSZybKVaaq6grn
WeP5tG28PGo2+thJti6k0Z2igZdTDpugkZ95xyzGWe6pAM2EoaJ7zy61odDXShyEzlJakmXg0u9U
/DDlUrk0Lx1P45Y6X046XsR5aFfBRIEdZ8VLN1ahOfn1emoLApwiVZim6hHzU/FMZya+JKQZgKkX
C2sHv3np4awueQHKI1faofd6Ixo8Rfc1N5+QmYzVblKq20JNR1Puah1uNhsyT1M3ddaMqzCG09P5
3EvulCx1uUZKs5CnjkkzPKaa5BPPqhgYe00elLhKQU5gzQ3rijhB2A+eH0CSariyownfRtnQZ4wG
DfL8zr81NPWqifyWl7UQnohqwqK+isylmNUVUwScQu7amI9DMnmx3IuMRRQXPOnilmtRWXilPABX
rSvDCYzWFlHVr3B7r5JuT2iL7awJqnWUt+XaaOqEG4YACYGIbw94uvFTyrWyRW5VTY1noKrxVEn/
lmtorbi63HIy82ga1aGlak3ExkYAT56Zd1PSKGVL9lQZdeiC9OFkDzMFLUmoArmeikuuHkH/JZmy
62ZCWpIkrBtHz/HK0NMxY6GGkCcFFxUSkqPVWmlKZQ8kMGYN5lrQNFxCnZnX7aVsdP0REcl8cyf0
W3JLXZXWI9M7JTVTHa2lokgdOlNBORI4c230KTuVl1wltwMsZtSjS0lqSno3eEmpzzdMSmB4eRhb
0VIOKTQNlQ+30ssdzxVdKFbjt5U5onxiLe0lzNGkDN4xKyrXaBt5FU6T7fe14gU1rVhQIo0FARBg
mBteUmB6TKp2pfQjCOQ2pp6oG+o1ZFLMiOY1KwQJUjZMpDH1ACwQMxwsAoQ8sHoAjcbF41UT2+MN
yhkJV83N8ExDp/UZLViU8+k+daWvRegExKwyjmQGqJi8RTFLLqPOKYPHNoO5zBq5Y/tovZJyV3VM
aVw5NFFodYPMLdDULbmx1CDko+7mlEfTLkCXeLQq5a319102Tx3XnBgc51Y6mOK+D81aslC4z8im
jVieenRYt9RNAzvMzdgwteIxHFfZdJBlK1Z7VoZe1NtqsOo0DnZPQlmf8I52dq/caYqrqCtC1l3w
oB+0cjWqd6phFa1VY7eOt4V2HxKnSjd+aFGZZeNaSTZ5uK3RqkQurc1GWEXHldCZJja1wiyJ0wA4
ZYk1wHAU2Fa0xRVvjZVEOZm49HUoG6bLOdhCj/Vg4smCGf3yIsxYltsh4lK7Gel1njp9+5BJDWuD
y1K8aZ1Te3StJ2ZVMto5auTFI9cHM09XoQQWHHWV1hOZFyTX+mxach/tgs7TqNtk3Kcu2ffBxPLC
Qa1XJis52WTNqqt4gXahwZuOhQBfchuR+yll2eUYOKMMOqqDCia+yilHj/U9lbwBueRrrDEM+toF
3maNKaWur1paaEU+KwwnnXh3H68Hw+ovArDD7sQ2Mgm1AsET3y4IS8Rq1FYDccpwlcVMrQ9C51O6
DootTTiO3MK3tWlD5Zd4ApUa2GTLmmmDjKtCMgvNobUTTl6tXybtOo68bgK6IGxIYxYnX4vgXmm2
AeDRujRmeMcTQ4ETw9k0Jn3NA9DfTeBhEqDpEHplwANiaXCBYH2Xa/Ur0KyivoWTFQ5mJZtUePhr
UV/lyaqcOEEzwABOUhUzX3iAnbLuVnQVS1aWcVKBochgMvFctGt14NFgF7k9Ci5VTDV4Hm+j1soN
3itcp2skXDyYaFNeq5KFlVsj9SbkKqHZrDLh+rU5NLZerNPJ6mtQHTZ6P7GmNkuNpQ1TNlMyMmt4
Hu7CmsUuNqxUvRLyqg8l1nUbVdhjbA8OHDPQAqambitW/bTWcoYP8bMmwVYH1jeOjMxevu6zjQ62
7a0smYr0hPJtpF9Ej+rAyORonYc10MB59mQQrwFSCJwMX5Z1zFB0PQ0Zm5SCAdXW8QpFJQ9CEyu2
0jJ95Glm9v1aDsxOZT5mdeJBHo98JLxtmZA2cf0iMicJFBbj25ZeiNSsYzcz2DRy7a3MmHFHBVct
stNC5odMB9lsML/2Qt8qFbt/Snqm6U48sja3y8wBs6h4lAZmAOMsGdFMVJkwSyM5cciN1ASY7wCZ
9a2xI+vMyd2isSRhgxynLQMfB2sAYIQPOoedRBIjhdWJOzCcSMDKdfuokseqdfXUEm57Lb/5xEpq
F7amT6z0FZbSXV06sCe/cWi2kQnTCDN4cFc+NCpXIocY63SNWstHdiHf5D4XiBvAinG/6fqNhuzw
pY12k2G27Urap3BdlUBslJwm2nXMqGWmxzy6yx+ybeWFF8qtZInpOozsSWdy9UzIReibbdEy8FKo
2EKx2VUOSbd42EjKtvbXQcWy8m4s7IpaurQ20qsuZEPCs6soY1hxJcTqko2pKy6Nhwzg/1rc6+tU
cQdXseqbPGSlsgqupnWisAlbw4PRcDo6KDf7xOooy4CWJTN+RMTTJivKZdYZbpOCrAMXFTdCM5mY
BFowUN+mlG5V8ENNt8rkjeNVD0ZpszfQRtQgGHgYM6LCJXPorsZ2UPNxYkpxc9uGt+PkUaoyIXgU
e21q6ZqTtzdB/LUfnzoFzIdmYlH4kDUN68RWDi66cOAICsgmHUepk9JrNLG0chN/ow1uB5wl8kpk
RtW+LzdYWjeJAxBKQBRSVlUsGlhOWRqypmKGYBPkMeve6B52eRE+RsoaZk/WYNCEhJGOJRoLbzVe
Of110TAsm5Ow8pilLcvBzjZJZVUDEy9YZ4UT1k7SmreoYhrXPJlLLLZ1DqT+qsa8fChHU7tMrHql
XJHEnuzYzNfjpVZb5Nl3RcwLlesWYJpuJT1HbyWwg/vgNo44utF3fWzBzjEHYggfBsP0fddoWHCn
XNK30g22wfZQP7QSU3exYDhgtc/HnEuAsVCQLIkLpl435sB9N+MAUxZyzEJbvX5lh9JqXxtbM1ch
YvIl2eWufDkCUwAF4E7pZ4rJH+IHRBjOWP2gXnc+JzrLFHMoLf9WKxn8DdMtdO0Lu+lWmjAThxSm
f+nrViffpZFNY0c0XPW5mjFVZ8HAQ9MAFaowRWcHvbVKAeNCNxS8eG6c8iKyhpYh5ATNNZhLBcv9
iQe1PVqRp5gdT+EmVF4rdpfvJo/oPMPmi8EqPrmxbLWyjR9WSmv2z37AyWa0AlcvWLOTXtE9LkAj
Ys0+ADLIvOJKdbMrdBd4ydaIQSSwTON+vOsEK+4KJ4ZdOdEVfZLAMgSO+5AlVgX+xxcddm0lsLWc
hcWq4GBphRTUNg51EYvN6KpJmCqYDmB/QEBh4CYC6+kO38oB727k+2aXm7ndXaqbIWTdZbLWODEB
2e3W4AoAjasbsml23WW98p1nqWDTZtpUO2LTigeuBEUjtLZA3tkExAbFoWP1rfBBZjB7AgVhzG+g
R8EkBpbORrXDJ7FSOzj4aFHP956b/bDJdoOpFow6oH1sZC/fhDKb7AbgmHDJSk2DZaxl8dbnGYMu
ZrFNbcOWeXwpVhrl5W2yK2+lx+h6MNt9fAtO5ludoa/VfW+VK5WVppYw8RQ8aBNTTeMWvLuaDizA
hDQTrDaxDVLjATgZoA5AWAG6QsBlAWOHYObh/eV0XW9oyMtVspNc1dQ36m1p6qbPc8e4zHlk608S
jBUm+LxrPj21XOYDkzhwKMTVgGlPEnELTkG4PGVwKidwQClZpWtAh/v4Vmz6r8mOOt2m2qeg9YDn
6xF9fcx20fVo+V/Dp/wtcxFAAniMulbX7daQ+JQz4J837TaXud0+o7voSiu4BryFNUBUEbtFB/CJ
SxwNfLzDrBnYrfHSPgsZbjZZV1eZS/fKXf007oARAoNU9vVT/KrwfhcH5nCTrJO1fKfx7rK6Uu4S
C3EAqiNvIeWTKcECL2XCgfvYDc9N8BWqG93VeOGFjzPSudLDkM/srQWbVrDqWYHsNmI1VA4su8Ju
fgEi0asOgKvFXZqz1bSO7eZuWgfAY8RDkVjFFqRTcljwXjzEF2HI4HcAKjKHdQb3FZtCMKF5BEIU
BS8R83MO9BwdxGSKB2gDYopaU8NrCjYKgEZhMCwDMEmsAJnxMr3EN5LP44T7PcOdjRFTRkdFTFAg
E+kFbYEva1y1h5XkA+nml5oXuMNqgAsZd8Nb/VSBBcqIDfie3/agkr8GGoPnePfSxWRDeMAtQCLF
2G1qhu578pg4aBWsotVggSzuKnuyiCdtyVYUEPy4zg4jqHaNGRpvycghCpLJIDKHy+SB6kwz7PBq
vEaOfjFt2vEq2dZrUCnUIQFaQU8FN6zO9S8P0VUPoB54ljAIXvSgKnvxRXQ1PUBYCBjgwiV80G5B
ECmsuSsOAQPow8nVlxYGVkzk4MBgEYjBl36rASO4F6vcHFYYTLW9uKg84yVLLUni/bWRcLqHXP0U
Pqqb7kIb5l1PmyDmzXUneFtzuPfuRn9Ad/VFUvJkcrKrWT94xi/VM2wxLs1INatDN26mBxCI3csE
1xgzKZ+ZMTA2UBH6bQNsabQkJtds9EbrpXNBwwNb85rsqBmwAHhFyAOrvgBeCmLyecq2/eg0d+kF
sLz0ot8CXBMX8cqS1m3A8IXshUChoAJx/IxWac20jWHRFRC+UkJlaVVm7g7AbjTHuEAO2hWuEKZ6
GzzUdmmO4K9iIbCx+8B9Cc3SUp0BYmbucKVtOlaAwIsvYN9DZWFgkogPNlhjDxVInBf9bXoSPVff
8JN6QUF2x7axyx/KtbYS67DhxrUcW71utbEFIk2+BHUQ/DCAtHeDS4A916ue16a0xjfUqRzQUGFm
55Ka6jXoFP2BzqcPvG5dOJPbHjrgE27mNrzi2I3t+Ca6Sq7UdW7313Ytc/wgAwokbJBM+a4DyrwC
mvXvwbcIF6gcSGTmkYXux/24Ly/r2+Q624lNDlxQfzUuwlv9Bl/UKZ9Wvqc52Y5eISs246eX2JSu
h3UH5Ezc+Z82sLBnUc21e3mfXkqqFZesT12I5YmOS48odUnEElChuBSxRxpuQdKg+8bfUGGDXuxp
XmJFjgHu3RXYC1exjXegZgLWyncGZqkNfLroV8Nt4CkrYzLz2JapNekHNEacBleJNsItTsLUb8Wt
YZiBpwEe1UCxxbXxAJt4CRxQ8OO4s9vF29qBYqXJOgHbCOyjxe0mzY7IosffkmNd4zNCZQ18BeB/
okt0YM7h2UW11B29URS3dtHHV2CFgBNKmd3JS7J4ok7FJReMPWVyTxS+eKGW/VCUem1olGav45uk
n4ZVGPSs8vtyRcqeY9HoK9yDLthF60Z67sCZg6fOhpCKVXVy5I6oCDwKVD1vP5J6F+tJ4SIUXMjg
k3fqNAADeE7AdNGQpK2CSiu8enblLbmmIbU7kd6UBwgwNPHs1cfpHFeom+xbNhEIIpxhD+wybYpV
HmpMjih4MOldQOvMmgICHpI8vy6mSk1ZTsDgnWKIJ42kuqwV8A1GGngc8Fw19GHnhSFuTDEmL1ho
4H2REYtD0KjLIYAA1TDMSnnGhyTdjqUGatC8Y/BqQUQAxUjnahIZTPhl5AxTsZMJAYZbSRfgo3Xr
oE6BccKeSEBqphYPQ6frvE3GjKvGHEvR5/DIkm0HDVwakVICN52jdYuPd/HrLjl9Cdb1VbXO/CBz
YgLu7yUZ5/idXIOj/FRXSm3k1mFgB/nYgUsF97UnKrX2ujlZikuCSnBcdT1YYIsfdElKSapka8lq
vn8l2qyzF7/s0VcrT3IK9loEaR9qkhuVacmQTsDjOXuGx+85tQ3A9znXLclZcem3DEukEgIbWT4+
Y1qAo7s5JKg5oIFyiK0CA0haIFUEckbgYo2FLHtGvUtFCecawEnpjQaqvQqTwYmLaZf5q74NYlNu
CXAiBbzi5RyVGhqI7C25hBrrKQ8TM56GywJpObb8CryMWdXq3RqT9qKtamx3klZ5k1xWXgVedbgN
7V6Xabs6lpYGiMHrZhSAz/5D5TLuWF6y3WAZuV6uyQQ+VxUYvlyDE1kENfiPG1UNITa25JfqJckh
Vumlc3IqnlqrxgePa5c6S7dT/XEW0tb1xE9N8HLhira6sItKJ7xDEebdiNRtZEAUlMnNmICXoWP+
oGgAXqBBvwDclpROtgw8PBWpWjuFoaxObUsuKKEXneAdPlsGEK1qkLU0LUklS3BpSpMWrCg72Vw6
LYPAey0mjpcw4rzeoKfQ8zjVqfZYXgYsQ5dJYz0BMbxkT/Mdey6Vp+GnMcfpz7sPapDbdd3dnA1Z
Fuz1uuZ9DT7t0zSnfuc7+1D+w52dlq7UJHVkI4bI8wy3ZcoPu/9wumN2GemfYPxhpWN26XA8oNGC
naml4LU97fmXMFlW1pvo/fI+rHw659lhlml/2sFpiel5EsodhOmemjmokc/Mf1LVb8lZ3Vlx6XdW
BzEA8GudTYOXoNWp+5I79VmmKCoNLLBTn1PzH9WdL7NMcTbtsY9OpmsB8Ta7nc9Hl1hsEI+FUzWx
J2ZB3s7ydmk9K+pLhBP4c37sSJeo6tL9mF36F+BrkqnaOn80xdJjSU7THFc57eaX48429stpln6n
lZb5TnXDHAX7ux4Mzd+KvT8x+uf2/bOwH98RLc9jTr2cQzE/vGvOO83PCL/3+n/69uj0xPXjw6P5
GaGK4ZMw+KQDntLBcyB4tvfrZ0jwQdrpa4X3x3g/jX9/lQQf2ajwIFSF50DwVBE+J/nwKgk+NpOB
ajQVHgvp1PjhGaGqwytS+DyHaJjAY+Pvr5LmT9gIRkQ3kEwJfIeC/9KrJBlmOntH+OPW4VuXj+8I
g1HJ1Tzvk50sUlZmewJxWRzkK6Q0b5UEVmjZvgQDjZghVW7Yg8d+8sqmdHzSWKQxwIEsuYMRgtOq
F0xTKlftq3WfGusRw9u8GHuKVDnqGF/rCbqmYF373YueGTucIDtXBjOow0sfwXNDuXhsW/8F6S1E
e7AjqeMqB6Nby1p4LgTGaDe4hewfSl92UyW/DoccHBW6F/vGE4XxcSUsJYrMWpfdHj8HhbbKg5eI
hLsgA3srGm7iEdttjJ5jiIYy+ObtWnT9GkmhpdTgb/UFuOTSnsUQ4kmpDg4xujMG2czlwMurySoQ
2uaC2mk13pcFeqlbHYS32oChHH/V49rqS8TbStshcIpmLTg5NBpcjKi+b0XrZVl9lcoKOOVU8AdD
fDIYVGfUwEedGdkWXhx3TAz9M8a5WWOFqWPmDLF8rRXZYFdRfZmp/XpA3RYehmwkiNqXyjSb6PV9
MiBHa+lLOBgPnY92nXxB44zXifDKXLgDNVZ5odxkdXAd+qPV9q2ZEHDjt61NAsoD8KL2vuAGqI6K
AeH9Sax0o4SgjwpGVTTQDZHqlRTDN49XoqpNVcwyuL+VcvAyJ6OpGOgJ1EbwpkgbEfmregS9O62q
iwDpDvw3Cwm8tRHagV7DdazamJZ3BDBikJqrWPLtKbugmd2i0Ink6rbUwZ81ZjYYAE9ZlcMDs7q1
pMnnWI1WJOp2RkO28ApNZRNE1KKyBr83+AwSbduNIlh3pF41vpKyScp52A42WDXckMaVVqb7plDd
CMUEon8SxG7Es6pkYElH46OOYbWod8Yu9jQ8rmtw8+YxKE//l5szaW4bB6LwL2IVQAIEcZkDKdHS
KI48cewkc2E5GQ83cAFXUL8+j/bElmLHsVI5qOaoBRAEsZ8a3d+jnV9WgnQL3U+hJ6izkI2b4rTc
9vilJ+pr016SuSmAZrdHxzPmkjdNr2Kf7Jwaxa/kXaJxQO1SvqzscVHljm8LnLBReWxFej50JFSJ
u3ZLsdCNFf4uKT9J/bUpPLc2nIps9lb8TH+BVt4T/Q/6+/34Pf0VQLgBhQrgpZJj5AMVCv11gGEy
gR9Gwiv5SIVCZF2Hckiz4xEPBqh9/XVsl1CsUtD7UUdQodTBTN/r7/7SJRaxr79p4dqFrlj+Nva6
9zhlraJ04MFkt8zPKxROC7OI2ugTq1GVHIfhvI4TseS4DIvhojfWxqbtxZAhf2+yoBgBXcAGgyYZ
iuPGVMudi4r2qFcNLn6vj8NyyrZco3rVt57re7QOTa3XUombsaPbZPehLqzVGMcfVCe2WQ58oN6h
Vkj5WkvL9jtMg9PxjYeYctDn6aoxJIi1bg66EdGXkTzejIjHBnHZsN3SMnpB5oBNCn4OjP1Koi+j
TbZqpVpNon9Tt0nA0fxl8k+NsstEYnS70F2Yiis1VpXfONXGZAb0dPFOWd26d5fK83zTJh/robry
nF1oWyyoy3RRtHYoWBQkRn90kLaxuMNzwNVHcOsD+PUMHHuD1oajbrmn1hSwOzVmndYj0lMSRgDh
OwDxTYw6GwD5YTf+G8dyGdXN537XhmYG6QHUW4wsGq87czvA81mx6QDec1jsfdtpbwDzBFREGwvU
W17SBWncm8RpULxp8y8Rr/2MXUfJJ0PtMEs6v7Cmq0qWvijqgJJb7pZnmV2EmZqrhZpfusaCujay
9//n6gBsWDCKDEqQn2Vns/f1iTocjt9TB4Q4EG/CnTmcD7MzIdhs5YLP9z4F+8aMzymYZ3NJbQaD
NeThQB2YI10MxGA24+RHqIP7nDhAY7hgHiezE/9QHHTtThHUI3+rKG+DjHvIBsbpL8vyrkbuFSAQ
U7V2FYgsX5n2RpUDegaGrgplBRb/pzS3WabJMiblsBxlk6DBkXZnQ6zQdo4mVMKVaOCuxOVXoUqd
oBdR43F0K6vrVOY4Fk/LYhqCQtRbtwylxEeqXQJqhOq/I5R1Yw11QHYUmIFvRyqvC6HRtZyVhKHz
DWWBwnSz1LBZdAqoTw7aSkNGqmk1zeJk7KbC2rILWqLrgER0YUgaNBKKBmXrURkqhwulQWbVqLGD
42ebE4iE/5xSzzooHnw+86t3Bp/31cuWqR+96dul9fxEv+66uPu8O//WS3M83lbjOFPco4P2+XU/
tZL8hu//qye/H2zF/nSP+zCfzV7vPT+1fdhPQ55kYMfuw+utxae3DYd/FQeFgKO34dgbcJzYbrzs
rjx2N464985r92FPaO9W87yU3p145jsd/fEVAAD//w==</cx:binary>
              </cx:geoCache>
            </cx:geography>
          </cx:layoutPr>
        </cx:series>
      </cx:plotAreaRegion>
    </cx:plotArea>
    <cx:legend pos="r" align="min" overlay="0"/>
  </cx:chart>
  <cx:printSettings>
    <cx:headerFooter alignWithMargins="1" differentOddEven="0" differentFirst="0">
      <cx:oddFooter>&amp;LKyler Suess&amp;CMap&amp;Re07c1RealEstate</cx:oddFooter>
    </cx:headerFooter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35909</xdr:colOff>
      <xdr:row>19</xdr:row>
      <xdr:rowOff>22717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C73A007-A791-4D60-9860-AFAF7120E7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25141"/>
              <a:ext cx="3310128" cy="21122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42"/>
  <sheetViews>
    <sheetView workbookViewId="0">
      <selection activeCell="F12" sqref="F12"/>
    </sheetView>
  </sheetViews>
  <sheetFormatPr defaultRowHeight="12.75" x14ac:dyDescent="0.2"/>
  <cols>
    <col min="1" max="1" width="13" customWidth="1"/>
    <col min="2" max="2" width="14.85546875" customWidth="1"/>
    <col min="3" max="3" width="13.42578125" bestFit="1" customWidth="1"/>
    <col min="4" max="4" width="11.28515625" style="9" bestFit="1" customWidth="1"/>
    <col min="5" max="5" width="13.42578125" customWidth="1"/>
    <col min="6" max="7" width="12.5703125" customWidth="1"/>
    <col min="8" max="8" width="12.28515625" bestFit="1" customWidth="1"/>
    <col min="9" max="9" width="10.140625" bestFit="1" customWidth="1"/>
    <col min="10" max="10" width="10.140625" customWidth="1"/>
    <col min="11" max="11" width="14.140625" customWidth="1"/>
    <col min="12" max="12" width="10" customWidth="1"/>
  </cols>
  <sheetData>
    <row r="1" spans="1:12" ht="25.5" customHeight="1" x14ac:dyDescent="0.2">
      <c r="A1" s="32" t="s">
        <v>23</v>
      </c>
      <c r="B1" s="33" t="s">
        <v>34</v>
      </c>
      <c r="C1" s="34" t="s">
        <v>25</v>
      </c>
      <c r="E1" s="32" t="s">
        <v>30</v>
      </c>
      <c r="F1" s="35" t="s">
        <v>32</v>
      </c>
      <c r="G1" s="33" t="s">
        <v>36</v>
      </c>
      <c r="H1" s="36" t="s">
        <v>35</v>
      </c>
      <c r="J1" s="32" t="s">
        <v>29</v>
      </c>
      <c r="K1" s="37"/>
      <c r="L1" s="38"/>
    </row>
    <row r="2" spans="1:12" x14ac:dyDescent="0.2">
      <c r="A2" s="13" t="s">
        <v>10</v>
      </c>
      <c r="B2" s="54">
        <f>AVERAGEIF(B$12:B$39,A2,G$12:G$39)</f>
        <v>601385.71428571432</v>
      </c>
      <c r="C2" s="15">
        <f>COUNTIF(B$12:B$39,A2)</f>
        <v>7</v>
      </c>
      <c r="E2" s="18" t="s">
        <v>4</v>
      </c>
      <c r="F2" s="9">
        <f>COUNTIFS(C$12:C$39,E2,D$12:D$39,J$3)</f>
        <v>3</v>
      </c>
      <c r="G2" s="14">
        <f>SUMIFS(G$12:G$39,C$12:C$39,E2,D$12:D$39,J$3)</f>
        <v>1343000</v>
      </c>
      <c r="H2" s="19">
        <f>_xlfn.MAXIFS(G$12:G$39,C$12:C$39,E2,D$12:D$39,J$3)</f>
        <v>643000</v>
      </c>
      <c r="J2" s="23" t="s">
        <v>20</v>
      </c>
      <c r="K2" s="5" t="s">
        <v>17</v>
      </c>
      <c r="L2" s="39">
        <v>2.75E-2</v>
      </c>
    </row>
    <row r="3" spans="1:12" x14ac:dyDescent="0.2">
      <c r="A3" s="13" t="s">
        <v>11</v>
      </c>
      <c r="B3" s="54">
        <f t="shared" ref="B3:B5" si="0">AVERAGEIF(B$12:B$39,A3,G$12:G$39)</f>
        <v>385794.44444444444</v>
      </c>
      <c r="C3" s="15">
        <f t="shared" ref="C3:C5" si="1">COUNTIF(B$12:B$39,A3)</f>
        <v>9</v>
      </c>
      <c r="E3" s="18" t="s">
        <v>6</v>
      </c>
      <c r="F3" s="9">
        <f t="shared" ref="F3:F4" si="2">COUNTIFS(C$12:C$39,E3,D$12:D$39,J$3)</f>
        <v>5</v>
      </c>
      <c r="G3" s="14">
        <f t="shared" ref="G3:G4" si="3">SUMIFS(G$12:G$39,C$12:C$39,E3,D$12:D$39,J$3)</f>
        <v>2385000</v>
      </c>
      <c r="H3" s="19">
        <f t="shared" ref="H3:H4" si="4">_xlfn.MAXIFS(G$12:G$39,C$12:C$39,E3,D$12:D$39,J$3)</f>
        <v>595000</v>
      </c>
      <c r="J3" s="24" t="s">
        <v>18</v>
      </c>
      <c r="K3" s="5" t="s">
        <v>15</v>
      </c>
      <c r="L3" s="40">
        <v>5.5E-2</v>
      </c>
    </row>
    <row r="4" spans="1:12" ht="13.5" thickBot="1" x14ac:dyDescent="0.25">
      <c r="A4" s="13" t="s">
        <v>8</v>
      </c>
      <c r="B4" s="54">
        <f t="shared" si="0"/>
        <v>640958.33333333337</v>
      </c>
      <c r="C4" s="15">
        <f t="shared" si="1"/>
        <v>6</v>
      </c>
      <c r="E4" s="20" t="s">
        <v>5</v>
      </c>
      <c r="F4" s="29">
        <f t="shared" si="2"/>
        <v>5</v>
      </c>
      <c r="G4" s="17">
        <f t="shared" si="3"/>
        <v>2871800</v>
      </c>
      <c r="H4" s="21">
        <f t="shared" si="4"/>
        <v>725900</v>
      </c>
      <c r="J4" s="25" t="s">
        <v>19</v>
      </c>
      <c r="K4" s="26" t="s">
        <v>16</v>
      </c>
      <c r="L4" s="41">
        <v>3.2500000000000001E-2</v>
      </c>
    </row>
    <row r="5" spans="1:12" ht="13.5" thickBot="1" x14ac:dyDescent="0.25">
      <c r="A5" s="16" t="s">
        <v>9</v>
      </c>
      <c r="B5" s="54">
        <f t="shared" si="0"/>
        <v>334666.66666666669</v>
      </c>
      <c r="C5" s="15">
        <f t="shared" si="1"/>
        <v>6</v>
      </c>
    </row>
    <row r="6" spans="1:12" x14ac:dyDescent="0.2">
      <c r="A6" s="51" t="s">
        <v>22</v>
      </c>
      <c r="B6" s="34"/>
      <c r="K6" s="32" t="s">
        <v>27</v>
      </c>
      <c r="L6" s="34"/>
    </row>
    <row r="7" spans="1:12" x14ac:dyDescent="0.2">
      <c r="A7" s="18" t="s">
        <v>4</v>
      </c>
      <c r="B7" s="19">
        <f>SUMIF(C$12:C$39,A7,K$12:K$39)</f>
        <v>204921.625</v>
      </c>
      <c r="K7" s="23" t="s">
        <v>28</v>
      </c>
      <c r="L7" s="52">
        <v>1</v>
      </c>
    </row>
    <row r="8" spans="1:12" x14ac:dyDescent="0.2">
      <c r="A8" s="18" t="s">
        <v>6</v>
      </c>
      <c r="B8" s="19">
        <f t="shared" ref="B8:B9" si="5">SUMIF(C$12:C$39,A8,K$12:K$39)</f>
        <v>155347.5</v>
      </c>
      <c r="K8" s="23" t="s">
        <v>12</v>
      </c>
      <c r="L8" s="53">
        <v>30</v>
      </c>
    </row>
    <row r="9" spans="1:12" ht="13.5" thickBot="1" x14ac:dyDescent="0.25">
      <c r="A9" s="20" t="s">
        <v>5</v>
      </c>
      <c r="B9" s="19">
        <f t="shared" si="5"/>
        <v>215045.875</v>
      </c>
      <c r="K9" s="25" t="s">
        <v>51</v>
      </c>
      <c r="L9" s="21">
        <v>1000</v>
      </c>
    </row>
    <row r="11" spans="1:12" ht="25.5" x14ac:dyDescent="0.2">
      <c r="A11" s="30" t="s">
        <v>7</v>
      </c>
      <c r="B11" s="30" t="s">
        <v>0</v>
      </c>
      <c r="C11" s="30" t="s">
        <v>1</v>
      </c>
      <c r="D11" s="30" t="s">
        <v>14</v>
      </c>
      <c r="E11" s="30" t="s">
        <v>14</v>
      </c>
      <c r="F11" s="30" t="s">
        <v>13</v>
      </c>
      <c r="G11" s="30" t="s">
        <v>33</v>
      </c>
      <c r="H11" s="30" t="s">
        <v>3</v>
      </c>
      <c r="I11" s="30" t="s">
        <v>2</v>
      </c>
      <c r="J11" s="31" t="s">
        <v>12</v>
      </c>
      <c r="K11" s="31" t="s">
        <v>21</v>
      </c>
      <c r="L11" s="31" t="s">
        <v>26</v>
      </c>
    </row>
    <row r="12" spans="1:12" x14ac:dyDescent="0.2">
      <c r="A12" s="2">
        <v>1</v>
      </c>
      <c r="B12" s="1" t="s">
        <v>8</v>
      </c>
      <c r="C12" s="1" t="s">
        <v>5</v>
      </c>
      <c r="D12" s="8" t="s">
        <v>18</v>
      </c>
      <c r="E12" s="1" t="str" cm="1">
        <f t="array" ref="E12">_xlfn.SWITCH(D12,J$2,K$2,J$3,K$3,J$4,K$4)</f>
        <v>Dual Agency</v>
      </c>
      <c r="F12" s="3">
        <v>725000</v>
      </c>
      <c r="G12" s="3">
        <v>705000</v>
      </c>
      <c r="H12" s="28">
        <v>44287</v>
      </c>
      <c r="I12" s="4">
        <v>44363</v>
      </c>
      <c r="J12" s="12">
        <f>_xlfn.DAYS(I12,H12)</f>
        <v>76</v>
      </c>
      <c r="K12" s="27" cm="1">
        <f t="array" ref="K12">_xlfn.IFS(D12=J$2,G12*L$2,D12=J$3,G12*L$3,D12=J$4,G12*L$4)</f>
        <v>38775</v>
      </c>
      <c r="L12" s="54">
        <f>IF(AND(G12/F12&gt;=L$7,J12&lt;=L$8),L$9,0)</f>
        <v>0</v>
      </c>
    </row>
    <row r="13" spans="1:12" x14ac:dyDescent="0.2">
      <c r="A13" s="2">
        <v>4</v>
      </c>
      <c r="B13" s="1" t="s">
        <v>9</v>
      </c>
      <c r="C13" s="1" t="s">
        <v>5</v>
      </c>
      <c r="D13" s="8" t="s">
        <v>18</v>
      </c>
      <c r="E13" s="1" t="str" cm="1">
        <f t="array" ref="E13">_xlfn.SWITCH(D13,J$2,K$2,J$3,K$3,J$4,K$4)</f>
        <v>Dual Agency</v>
      </c>
      <c r="F13" s="3">
        <v>350799</v>
      </c>
      <c r="G13" s="3">
        <v>350000</v>
      </c>
      <c r="H13" s="28">
        <v>44287</v>
      </c>
      <c r="I13" s="4">
        <v>44341</v>
      </c>
      <c r="J13" s="12">
        <f t="shared" ref="J13:J39" si="6">_xlfn.DAYS(I13,H13)</f>
        <v>54</v>
      </c>
      <c r="K13" s="27" cm="1">
        <f t="array" ref="K13">_xlfn.IFS(D13=J$2,G13*L$2,D13=J$3,G13*L$3,D13=J$4,G13*L$4)</f>
        <v>19250</v>
      </c>
      <c r="L13" s="54">
        <f t="shared" ref="L13:L39" si="7">IF(AND(G13/F13&gt;=L$7,J13&lt;=L$8),L$9,0)</f>
        <v>0</v>
      </c>
    </row>
    <row r="14" spans="1:12" x14ac:dyDescent="0.2">
      <c r="A14" s="2">
        <v>5</v>
      </c>
      <c r="B14" s="1" t="s">
        <v>11</v>
      </c>
      <c r="C14" s="1" t="s">
        <v>5</v>
      </c>
      <c r="D14" s="8" t="s">
        <v>18</v>
      </c>
      <c r="E14" s="1" t="str" cm="1">
        <f t="array" ref="E14">_xlfn.SWITCH(D14,J$2,K$2,J$3,K$3,J$4,K$4)</f>
        <v>Dual Agency</v>
      </c>
      <c r="F14" s="3">
        <v>385900</v>
      </c>
      <c r="G14" s="3">
        <v>385900</v>
      </c>
      <c r="H14" s="28">
        <v>44287</v>
      </c>
      <c r="I14" s="4">
        <v>44316</v>
      </c>
      <c r="J14" s="12">
        <f t="shared" si="6"/>
        <v>29</v>
      </c>
      <c r="K14" s="27" cm="1">
        <f t="array" ref="K14">_xlfn.IFS(D14=J$2,G14*L$2,D14=J$3,G14*L$3,D14=J$4,G14*L$4)</f>
        <v>21224.5</v>
      </c>
      <c r="L14" s="54">
        <f t="shared" si="7"/>
        <v>1000</v>
      </c>
    </row>
    <row r="15" spans="1:12" x14ac:dyDescent="0.2">
      <c r="A15" s="2">
        <v>6</v>
      </c>
      <c r="B15" s="1" t="s">
        <v>10</v>
      </c>
      <c r="C15" s="1" t="s">
        <v>4</v>
      </c>
      <c r="D15" s="8" t="s">
        <v>19</v>
      </c>
      <c r="E15" s="1" t="str" cm="1">
        <f t="array" ref="E15">_xlfn.SWITCH(D15,J$2,K$2,J$3,K$3,J$4,K$4)</f>
        <v>Seller's Agent</v>
      </c>
      <c r="F15" s="3">
        <v>500000</v>
      </c>
      <c r="G15" s="3">
        <v>495800</v>
      </c>
      <c r="H15" s="4">
        <v>44289</v>
      </c>
      <c r="I15" s="4">
        <v>44357</v>
      </c>
      <c r="J15" s="12">
        <f t="shared" si="6"/>
        <v>68</v>
      </c>
      <c r="K15" s="27" cm="1">
        <f t="array" ref="K15">_xlfn.IFS(D15=J$2,G15*L$2,D15=J$3,G15*L$3,D15=J$4,G15*L$4)</f>
        <v>16113.5</v>
      </c>
      <c r="L15" s="54">
        <f t="shared" si="7"/>
        <v>0</v>
      </c>
    </row>
    <row r="16" spans="1:12" x14ac:dyDescent="0.2">
      <c r="A16" s="2">
        <v>7</v>
      </c>
      <c r="B16" s="1" t="s">
        <v>9</v>
      </c>
      <c r="C16" s="1" t="s">
        <v>5</v>
      </c>
      <c r="D16" s="8" t="s">
        <v>20</v>
      </c>
      <c r="E16" s="1" t="str" cm="1">
        <f t="array" ref="E16">_xlfn.SWITCH(D16,J$2,K$2,J$3,K$3,J$4,K$4)</f>
        <v>Buyer's Agent</v>
      </c>
      <c r="F16" s="3">
        <v>345999</v>
      </c>
      <c r="G16" s="3">
        <v>345000</v>
      </c>
      <c r="H16" s="4">
        <v>44289</v>
      </c>
      <c r="I16" s="4">
        <v>44348</v>
      </c>
      <c r="J16" s="12">
        <f t="shared" si="6"/>
        <v>59</v>
      </c>
      <c r="K16" s="27" cm="1">
        <f t="array" ref="K16">_xlfn.IFS(D16=J$2,G16*L$2,D16=J$3,G16*L$3,D16=J$4,G16*L$4)</f>
        <v>9487.5</v>
      </c>
      <c r="L16" s="54">
        <f t="shared" si="7"/>
        <v>0</v>
      </c>
    </row>
    <row r="17" spans="1:12" x14ac:dyDescent="0.2">
      <c r="A17" s="2">
        <v>11</v>
      </c>
      <c r="B17" s="1" t="s">
        <v>11</v>
      </c>
      <c r="C17" s="1" t="s">
        <v>6</v>
      </c>
      <c r="D17" s="8" t="s">
        <v>18</v>
      </c>
      <c r="E17" s="1" t="str" cm="1">
        <f t="array" ref="E17">_xlfn.SWITCH(D17,J$2,K$2,J$3,K$3,J$4,K$4)</f>
        <v>Dual Agency</v>
      </c>
      <c r="F17" s="3">
        <v>325000</v>
      </c>
      <c r="G17" s="3">
        <v>320000</v>
      </c>
      <c r="H17" s="4">
        <v>44298</v>
      </c>
      <c r="I17" s="4">
        <v>44346</v>
      </c>
      <c r="J17" s="12">
        <f t="shared" si="6"/>
        <v>48</v>
      </c>
      <c r="K17" s="27" cm="1">
        <f t="array" ref="K17">_xlfn.IFS(D17=J$2,G17*L$2,D17=J$3,G17*L$3,D17=J$4,G17*L$4)</f>
        <v>17600</v>
      </c>
      <c r="L17" s="54">
        <f t="shared" si="7"/>
        <v>0</v>
      </c>
    </row>
    <row r="18" spans="1:12" x14ac:dyDescent="0.2">
      <c r="A18" s="2">
        <v>12</v>
      </c>
      <c r="B18" s="1" t="s">
        <v>10</v>
      </c>
      <c r="C18" s="1" t="s">
        <v>5</v>
      </c>
      <c r="D18" s="8" t="s">
        <v>18</v>
      </c>
      <c r="E18" s="1" t="str" cm="1">
        <f t="array" ref="E18">_xlfn.SWITCH(D18,J$2,K$2,J$3,K$3,J$4,K$4)</f>
        <v>Dual Agency</v>
      </c>
      <c r="F18" s="3">
        <v>750250</v>
      </c>
      <c r="G18" s="3">
        <v>725900</v>
      </c>
      <c r="H18" s="4">
        <v>44298</v>
      </c>
      <c r="I18" s="4">
        <v>44501</v>
      </c>
      <c r="J18" s="12">
        <f t="shared" si="6"/>
        <v>203</v>
      </c>
      <c r="K18" s="27" cm="1">
        <f t="array" ref="K18">_xlfn.IFS(D18=J$2,G18*L$2,D18=J$3,G18*L$3,D18=J$4,G18*L$4)</f>
        <v>39924.5</v>
      </c>
      <c r="L18" s="54">
        <f t="shared" si="7"/>
        <v>0</v>
      </c>
    </row>
    <row r="19" spans="1:12" x14ac:dyDescent="0.2">
      <c r="A19" s="2">
        <v>17</v>
      </c>
      <c r="B19" s="1" t="s">
        <v>10</v>
      </c>
      <c r="C19" s="1" t="s">
        <v>4</v>
      </c>
      <c r="D19" s="8" t="s">
        <v>18</v>
      </c>
      <c r="E19" s="1" t="str" cm="1">
        <f t="array" ref="E19">_xlfn.SWITCH(D19,J$2,K$2,J$3,K$3,J$4,K$4)</f>
        <v>Dual Agency</v>
      </c>
      <c r="F19" s="3">
        <v>645000</v>
      </c>
      <c r="G19" s="3">
        <v>643000</v>
      </c>
      <c r="H19" s="4">
        <v>44304</v>
      </c>
      <c r="I19" s="4">
        <v>44370</v>
      </c>
      <c r="J19" s="12">
        <f t="shared" si="6"/>
        <v>66</v>
      </c>
      <c r="K19" s="27" cm="1">
        <f t="array" ref="K19">_xlfn.IFS(D19=J$2,G19*L$2,D19=J$3,G19*L$3,D19=J$4,G19*L$4)</f>
        <v>35365</v>
      </c>
      <c r="L19" s="54">
        <f t="shared" si="7"/>
        <v>0</v>
      </c>
    </row>
    <row r="20" spans="1:12" x14ac:dyDescent="0.2">
      <c r="A20" s="2">
        <v>19</v>
      </c>
      <c r="B20" s="1" t="s">
        <v>11</v>
      </c>
      <c r="C20" s="1" t="s">
        <v>5</v>
      </c>
      <c r="D20" s="8" t="s">
        <v>20</v>
      </c>
      <c r="E20" s="1" t="str" cm="1">
        <f t="array" ref="E20">_xlfn.SWITCH(D20,J$2,K$2,J$3,K$3,J$4,K$4)</f>
        <v>Buyer's Agent</v>
      </c>
      <c r="F20" s="3">
        <v>425000</v>
      </c>
      <c r="G20" s="3">
        <v>415000</v>
      </c>
      <c r="H20" s="4">
        <v>44304</v>
      </c>
      <c r="I20" s="4">
        <v>44377</v>
      </c>
      <c r="J20" s="12">
        <f t="shared" si="6"/>
        <v>73</v>
      </c>
      <c r="K20" s="27" cm="1">
        <f t="array" ref="K20">_xlfn.IFS(D20=J$2,G20*L$2,D20=J$3,G20*L$3,D20=J$4,G20*L$4)</f>
        <v>11412.5</v>
      </c>
      <c r="L20" s="54">
        <f t="shared" si="7"/>
        <v>0</v>
      </c>
    </row>
    <row r="21" spans="1:12" x14ac:dyDescent="0.2">
      <c r="A21" s="2">
        <v>21</v>
      </c>
      <c r="B21" s="1" t="s">
        <v>9</v>
      </c>
      <c r="C21" s="1" t="s">
        <v>5</v>
      </c>
      <c r="D21" s="8" t="s">
        <v>19</v>
      </c>
      <c r="E21" s="1" t="str" cm="1">
        <f t="array" ref="E21">_xlfn.SWITCH(D21,J$2,K$2,J$3,K$3,J$4,K$4)</f>
        <v>Seller's Agent</v>
      </c>
      <c r="F21" s="3">
        <v>325000</v>
      </c>
      <c r="G21" s="3">
        <v>330000</v>
      </c>
      <c r="H21" s="4">
        <v>44314</v>
      </c>
      <c r="I21" s="4">
        <v>44348</v>
      </c>
      <c r="J21" s="12">
        <f t="shared" si="6"/>
        <v>34</v>
      </c>
      <c r="K21" s="27" cm="1">
        <f t="array" ref="K21">_xlfn.IFS(D21=J$2,G21*L$2,D21=J$3,G21*L$3,D21=J$4,G21*L$4)</f>
        <v>10725</v>
      </c>
      <c r="L21" s="54">
        <f t="shared" si="7"/>
        <v>0</v>
      </c>
    </row>
    <row r="22" spans="1:12" x14ac:dyDescent="0.2">
      <c r="A22" s="2">
        <v>24</v>
      </c>
      <c r="B22" s="1" t="s">
        <v>11</v>
      </c>
      <c r="C22" s="1" t="s">
        <v>5</v>
      </c>
      <c r="D22" s="8" t="s">
        <v>19</v>
      </c>
      <c r="E22" s="1" t="str" cm="1">
        <f t="array" ref="E22">_xlfn.SWITCH(D22,J$2,K$2,J$3,K$3,J$4,K$4)</f>
        <v>Seller's Agent</v>
      </c>
      <c r="F22" s="3">
        <v>425815</v>
      </c>
      <c r="G22" s="3">
        <v>418000</v>
      </c>
      <c r="H22" s="4">
        <v>44314</v>
      </c>
      <c r="I22" s="4">
        <v>44454</v>
      </c>
      <c r="J22" s="12">
        <f t="shared" si="6"/>
        <v>140</v>
      </c>
      <c r="K22" s="27" cm="1">
        <f t="array" ref="K22">_xlfn.IFS(D22=J$2,G22*L$2,D22=J$3,G22*L$3,D22=J$4,G22*L$4)</f>
        <v>13585</v>
      </c>
      <c r="L22" s="54">
        <f t="shared" si="7"/>
        <v>0</v>
      </c>
    </row>
    <row r="23" spans="1:12" x14ac:dyDescent="0.2">
      <c r="A23" s="2">
        <v>27</v>
      </c>
      <c r="B23" s="1" t="s">
        <v>10</v>
      </c>
      <c r="C23" s="1" t="s">
        <v>5</v>
      </c>
      <c r="D23" s="8" t="s">
        <v>18</v>
      </c>
      <c r="E23" s="1" t="str" cm="1">
        <f t="array" ref="E23">_xlfn.SWITCH(D23,J$2,K$2,J$3,K$3,J$4,K$4)</f>
        <v>Dual Agency</v>
      </c>
      <c r="F23" s="3">
        <v>700000</v>
      </c>
      <c r="G23" s="3">
        <v>705000</v>
      </c>
      <c r="H23" s="4">
        <v>44316</v>
      </c>
      <c r="I23" s="4">
        <v>44366</v>
      </c>
      <c r="J23" s="12">
        <f t="shared" si="6"/>
        <v>50</v>
      </c>
      <c r="K23" s="27" cm="1">
        <f t="array" ref="K23">_xlfn.IFS(D23=J$2,G23*L$2,D23=J$3,G23*L$3,D23=J$4,G23*L$4)</f>
        <v>38775</v>
      </c>
      <c r="L23" s="54">
        <f t="shared" si="7"/>
        <v>0</v>
      </c>
    </row>
    <row r="24" spans="1:12" x14ac:dyDescent="0.2">
      <c r="A24" s="2">
        <v>30</v>
      </c>
      <c r="B24" s="1" t="s">
        <v>9</v>
      </c>
      <c r="C24" s="1" t="s">
        <v>6</v>
      </c>
      <c r="D24" s="8" t="s">
        <v>19</v>
      </c>
      <c r="E24" s="1" t="str" cm="1">
        <f t="array" ref="E24">_xlfn.SWITCH(D24,J$2,K$2,J$3,K$3,J$4,K$4)</f>
        <v>Seller's Agent</v>
      </c>
      <c r="F24" s="3">
        <v>365000</v>
      </c>
      <c r="G24" s="3">
        <v>363000</v>
      </c>
      <c r="H24" s="4">
        <v>44317</v>
      </c>
      <c r="I24" s="4">
        <v>44365</v>
      </c>
      <c r="J24" s="12">
        <f t="shared" si="6"/>
        <v>48</v>
      </c>
      <c r="K24" s="27" cm="1">
        <f t="array" ref="K24">_xlfn.IFS(D24=J$2,G24*L$2,D24=J$3,G24*L$3,D24=J$4,G24*L$4)</f>
        <v>11797.5</v>
      </c>
      <c r="L24" s="54">
        <f t="shared" si="7"/>
        <v>0</v>
      </c>
    </row>
    <row r="25" spans="1:12" x14ac:dyDescent="0.2">
      <c r="A25" s="2">
        <v>32</v>
      </c>
      <c r="B25" s="1" t="s">
        <v>8</v>
      </c>
      <c r="C25" s="1" t="s">
        <v>4</v>
      </c>
      <c r="D25" s="8" t="s">
        <v>19</v>
      </c>
      <c r="E25" s="1" t="str" cm="1">
        <f t="array" ref="E25">_xlfn.SWITCH(D25,J$2,K$2,J$3,K$3,J$4,K$4)</f>
        <v>Seller's Agent</v>
      </c>
      <c r="F25" s="3">
        <v>885500</v>
      </c>
      <c r="G25" s="3">
        <v>800000</v>
      </c>
      <c r="H25" s="4">
        <v>44317</v>
      </c>
      <c r="I25" s="4">
        <v>44353</v>
      </c>
      <c r="J25" s="12">
        <f t="shared" si="6"/>
        <v>36</v>
      </c>
      <c r="K25" s="27" cm="1">
        <f t="array" ref="K25">_xlfn.IFS(D25=J$2,G25*L$2,D25=J$3,G25*L$3,D25=J$4,G25*L$4)</f>
        <v>26000</v>
      </c>
      <c r="L25" s="54">
        <f t="shared" si="7"/>
        <v>0</v>
      </c>
    </row>
    <row r="26" spans="1:12" x14ac:dyDescent="0.2">
      <c r="A26" s="2">
        <v>34</v>
      </c>
      <c r="B26" s="1" t="s">
        <v>8</v>
      </c>
      <c r="C26" s="1" t="s">
        <v>4</v>
      </c>
      <c r="D26" s="8" t="s">
        <v>19</v>
      </c>
      <c r="E26" s="1" t="str" cm="1">
        <f t="array" ref="E26">_xlfn.SWITCH(D26,J$2,K$2,J$3,K$3,J$4,K$4)</f>
        <v>Seller's Agent</v>
      </c>
      <c r="F26" s="3">
        <v>610000</v>
      </c>
      <c r="G26" s="3">
        <v>600000</v>
      </c>
      <c r="H26" s="4">
        <v>44317</v>
      </c>
      <c r="I26" s="4">
        <v>44373</v>
      </c>
      <c r="J26" s="12">
        <f t="shared" si="6"/>
        <v>56</v>
      </c>
      <c r="K26" s="27" cm="1">
        <f t="array" ref="K26">_xlfn.IFS(D26=J$2,G26*L$2,D26=J$3,G26*L$3,D26=J$4,G26*L$4)</f>
        <v>19500</v>
      </c>
      <c r="L26" s="54">
        <f t="shared" si="7"/>
        <v>0</v>
      </c>
    </row>
    <row r="27" spans="1:12" x14ac:dyDescent="0.2">
      <c r="A27" s="2">
        <v>35</v>
      </c>
      <c r="B27" s="1" t="s">
        <v>8</v>
      </c>
      <c r="C27" s="1" t="s">
        <v>6</v>
      </c>
      <c r="D27" s="8" t="s">
        <v>18</v>
      </c>
      <c r="E27" s="1" t="str" cm="1">
        <f t="array" ref="E27">_xlfn.SWITCH(D27,J$2,K$2,J$3,K$3,J$4,K$4)</f>
        <v>Dual Agency</v>
      </c>
      <c r="F27" s="3">
        <v>560700</v>
      </c>
      <c r="G27" s="3">
        <v>565000</v>
      </c>
      <c r="H27" s="4">
        <v>44317</v>
      </c>
      <c r="I27" s="4">
        <v>44346</v>
      </c>
      <c r="J27" s="12">
        <f t="shared" si="6"/>
        <v>29</v>
      </c>
      <c r="K27" s="27" cm="1">
        <f t="array" ref="K27">_xlfn.IFS(D27=J$2,G27*L$2,D27=J$3,G27*L$3,D27=J$4,G27*L$4)</f>
        <v>31075</v>
      </c>
      <c r="L27" s="54">
        <f t="shared" si="7"/>
        <v>1000</v>
      </c>
    </row>
    <row r="28" spans="1:12" x14ac:dyDescent="0.2">
      <c r="A28" s="2">
        <v>36</v>
      </c>
      <c r="B28" s="1" t="s">
        <v>11</v>
      </c>
      <c r="C28" s="1" t="s">
        <v>6</v>
      </c>
      <c r="D28" s="8" t="s">
        <v>20</v>
      </c>
      <c r="E28" s="1" t="str" cm="1">
        <f t="array" ref="E28">_xlfn.SWITCH(D28,J$2,K$2,J$3,K$3,J$4,K$4)</f>
        <v>Buyer's Agent</v>
      </c>
      <c r="F28" s="3">
        <v>450000</v>
      </c>
      <c r="G28" s="3">
        <v>450000</v>
      </c>
      <c r="H28" s="4">
        <v>44318</v>
      </c>
      <c r="I28" s="4">
        <v>44469</v>
      </c>
      <c r="J28" s="12">
        <f t="shared" si="6"/>
        <v>151</v>
      </c>
      <c r="K28" s="27" cm="1">
        <f t="array" ref="K28">_xlfn.IFS(D28=J$2,G28*L$2,D28=J$3,G28*L$3,D28=J$4,G28*L$4)</f>
        <v>12375</v>
      </c>
      <c r="L28" s="54">
        <f t="shared" si="7"/>
        <v>0</v>
      </c>
    </row>
    <row r="29" spans="1:12" x14ac:dyDescent="0.2">
      <c r="A29" s="2">
        <v>43</v>
      </c>
      <c r="B29" s="1" t="s">
        <v>11</v>
      </c>
      <c r="C29" s="1" t="s">
        <v>4</v>
      </c>
      <c r="D29" s="8" t="s">
        <v>20</v>
      </c>
      <c r="E29" s="1" t="str" cm="1">
        <f t="array" ref="E29">_xlfn.SWITCH(D29,J$2,K$2,J$3,K$3,J$4,K$4)</f>
        <v>Buyer's Agent</v>
      </c>
      <c r="F29" s="3">
        <v>375000</v>
      </c>
      <c r="G29" s="3">
        <v>372500</v>
      </c>
      <c r="H29" s="4">
        <v>44322</v>
      </c>
      <c r="I29" s="4">
        <v>44331</v>
      </c>
      <c r="J29" s="12">
        <f t="shared" si="6"/>
        <v>9</v>
      </c>
      <c r="K29" s="27" cm="1">
        <f t="array" ref="K29">_xlfn.IFS(D29=J$2,G29*L$2,D29=J$3,G29*L$3,D29=J$4,G29*L$4)</f>
        <v>10243.75</v>
      </c>
      <c r="L29" s="54">
        <f t="shared" si="7"/>
        <v>0</v>
      </c>
    </row>
    <row r="30" spans="1:12" x14ac:dyDescent="0.2">
      <c r="A30" s="2">
        <v>46</v>
      </c>
      <c r="B30" s="1" t="s">
        <v>8</v>
      </c>
      <c r="C30" s="1" t="s">
        <v>4</v>
      </c>
      <c r="D30" s="8" t="s">
        <v>19</v>
      </c>
      <c r="E30" s="1" t="str" cm="1">
        <f t="array" ref="E30">_xlfn.SWITCH(D30,J$2,K$2,J$3,K$3,J$4,K$4)</f>
        <v>Seller's Agent</v>
      </c>
      <c r="F30" s="3">
        <v>650000</v>
      </c>
      <c r="G30" s="3">
        <v>625750</v>
      </c>
      <c r="H30" s="4">
        <v>44331</v>
      </c>
      <c r="I30" s="4">
        <v>44356</v>
      </c>
      <c r="J30" s="12">
        <f t="shared" si="6"/>
        <v>25</v>
      </c>
      <c r="K30" s="27" cm="1">
        <f t="array" ref="K30">_xlfn.IFS(D30=J$2,G30*L$2,D30=J$3,G30*L$3,D30=J$4,G30*L$4)</f>
        <v>20336.875</v>
      </c>
      <c r="L30" s="54">
        <f t="shared" si="7"/>
        <v>0</v>
      </c>
    </row>
    <row r="31" spans="1:12" x14ac:dyDescent="0.2">
      <c r="A31" s="2">
        <v>48</v>
      </c>
      <c r="B31" s="1" t="s">
        <v>10</v>
      </c>
      <c r="C31" s="1" t="s">
        <v>6</v>
      </c>
      <c r="D31" s="8" t="s">
        <v>18</v>
      </c>
      <c r="E31" s="1" t="str" cm="1">
        <f t="array" ref="E31">_xlfn.SWITCH(D31,J$2,K$2,J$3,K$3,J$4,K$4)</f>
        <v>Dual Agency</v>
      </c>
      <c r="F31" s="3">
        <v>545000</v>
      </c>
      <c r="G31" s="3">
        <v>560000</v>
      </c>
      <c r="H31" s="4">
        <v>44338</v>
      </c>
      <c r="I31" s="4">
        <v>44363</v>
      </c>
      <c r="J31" s="12">
        <f t="shared" si="6"/>
        <v>25</v>
      </c>
      <c r="K31" s="27" cm="1">
        <f t="array" ref="K31">_xlfn.IFS(D31=J$2,G31*L$2,D31=J$3,G31*L$3,D31=J$4,G31*L$4)</f>
        <v>30800</v>
      </c>
      <c r="L31" s="54">
        <f t="shared" si="7"/>
        <v>1000</v>
      </c>
    </row>
    <row r="32" spans="1:12" x14ac:dyDescent="0.2">
      <c r="A32" s="2">
        <v>53</v>
      </c>
      <c r="B32" s="1" t="s">
        <v>9</v>
      </c>
      <c r="C32" s="1" t="s">
        <v>4</v>
      </c>
      <c r="D32" s="8" t="s">
        <v>19</v>
      </c>
      <c r="E32" s="1" t="str" cm="1">
        <f t="array" ref="E32">_xlfn.SWITCH(D32,J$2,K$2,J$3,K$3,J$4,K$4)</f>
        <v>Seller's Agent</v>
      </c>
      <c r="F32" s="3">
        <v>315750</v>
      </c>
      <c r="G32" s="3">
        <v>320000</v>
      </c>
      <c r="H32" s="4">
        <v>44344</v>
      </c>
      <c r="I32" s="4">
        <v>44365</v>
      </c>
      <c r="J32" s="12">
        <f t="shared" si="6"/>
        <v>21</v>
      </c>
      <c r="K32" s="27" cm="1">
        <f t="array" ref="K32">_xlfn.IFS(D32=J$2,G32*L$2,D32=J$3,G32*L$3,D32=J$4,G32*L$4)</f>
        <v>10400</v>
      </c>
      <c r="L32" s="54">
        <f t="shared" si="7"/>
        <v>1000</v>
      </c>
    </row>
    <row r="33" spans="1:12" x14ac:dyDescent="0.2">
      <c r="A33" s="2">
        <v>61</v>
      </c>
      <c r="B33" s="1" t="s">
        <v>9</v>
      </c>
      <c r="C33" s="1" t="s">
        <v>4</v>
      </c>
      <c r="D33" s="8" t="s">
        <v>18</v>
      </c>
      <c r="E33" s="1" t="str" cm="1">
        <f t="array" ref="E33">_xlfn.SWITCH(D33,J$2,K$2,J$3,K$3,J$4,K$4)</f>
        <v>Dual Agency</v>
      </c>
      <c r="F33" s="3">
        <v>300000</v>
      </c>
      <c r="G33" s="3">
        <v>300000</v>
      </c>
      <c r="H33" s="4">
        <v>44349</v>
      </c>
      <c r="I33" s="4">
        <v>44441</v>
      </c>
      <c r="J33" s="12">
        <f t="shared" si="6"/>
        <v>92</v>
      </c>
      <c r="K33" s="27" cm="1">
        <f t="array" ref="K33">_xlfn.IFS(D33=J$2,G33*L$2,D33=J$3,G33*L$3,D33=J$4,G33*L$4)</f>
        <v>16500</v>
      </c>
      <c r="L33" s="54">
        <f t="shared" si="7"/>
        <v>0</v>
      </c>
    </row>
    <row r="34" spans="1:12" x14ac:dyDescent="0.2">
      <c r="A34" s="2">
        <v>69</v>
      </c>
      <c r="B34" s="1" t="s">
        <v>10</v>
      </c>
      <c r="C34" s="1" t="s">
        <v>6</v>
      </c>
      <c r="D34" s="8" t="s">
        <v>18</v>
      </c>
      <c r="E34" s="1" t="str" cm="1">
        <f t="array" ref="E34">_xlfn.SWITCH(D34,J$2,K$2,J$3,K$3,J$4,K$4)</f>
        <v>Dual Agency</v>
      </c>
      <c r="F34" s="3">
        <v>589000</v>
      </c>
      <c r="G34" s="3">
        <v>595000</v>
      </c>
      <c r="H34" s="4">
        <v>44365</v>
      </c>
      <c r="I34" s="4">
        <v>44385</v>
      </c>
      <c r="J34" s="12">
        <f t="shared" si="6"/>
        <v>20</v>
      </c>
      <c r="K34" s="27" cm="1">
        <f t="array" ref="K34">_xlfn.IFS(D34=J$2,G34*L$2,D34=J$3,G34*L$3,D34=J$4,G34*L$4)</f>
        <v>32725</v>
      </c>
      <c r="L34" s="54">
        <f t="shared" si="7"/>
        <v>1000</v>
      </c>
    </row>
    <row r="35" spans="1:12" x14ac:dyDescent="0.2">
      <c r="A35" s="2">
        <v>70</v>
      </c>
      <c r="B35" s="1" t="s">
        <v>11</v>
      </c>
      <c r="C35" s="1" t="s">
        <v>6</v>
      </c>
      <c r="D35" s="8" t="s">
        <v>18</v>
      </c>
      <c r="E35" s="1" t="str" cm="1">
        <f t="array" ref="E35">_xlfn.SWITCH(D35,J$2,K$2,J$3,K$3,J$4,K$4)</f>
        <v>Dual Agency</v>
      </c>
      <c r="F35" s="3">
        <v>345670</v>
      </c>
      <c r="G35" s="3">
        <v>345000</v>
      </c>
      <c r="H35" s="4">
        <v>44367</v>
      </c>
      <c r="I35" s="4">
        <v>44469</v>
      </c>
      <c r="J35" s="12">
        <f t="shared" si="6"/>
        <v>102</v>
      </c>
      <c r="K35" s="27" cm="1">
        <f t="array" ref="K35">_xlfn.IFS(D35=J$2,G35*L$2,D35=J$3,G35*L$3,D35=J$4,G35*L$4)</f>
        <v>18975</v>
      </c>
      <c r="L35" s="54">
        <f t="shared" si="7"/>
        <v>0</v>
      </c>
    </row>
    <row r="36" spans="1:12" x14ac:dyDescent="0.2">
      <c r="A36" s="2">
        <v>73</v>
      </c>
      <c r="B36" s="1" t="s">
        <v>8</v>
      </c>
      <c r="C36" s="1" t="s">
        <v>4</v>
      </c>
      <c r="D36" s="8" t="s">
        <v>20</v>
      </c>
      <c r="E36" s="1" t="str" cm="1">
        <f t="array" ref="E36">_xlfn.SWITCH(D36,J$2,K$2,J$3,K$3,J$4,K$4)</f>
        <v>Buyer's Agent</v>
      </c>
      <c r="F36" s="3">
        <v>555000</v>
      </c>
      <c r="G36" s="3">
        <v>550000</v>
      </c>
      <c r="H36" s="4">
        <v>44371</v>
      </c>
      <c r="I36" s="4">
        <v>44377</v>
      </c>
      <c r="J36" s="12">
        <f t="shared" si="6"/>
        <v>6</v>
      </c>
      <c r="K36" s="27" cm="1">
        <f t="array" ref="K36">_xlfn.IFS(D36=J$2,G36*L$2,D36=J$3,G36*L$3,D36=J$4,G36*L$4)</f>
        <v>15125</v>
      </c>
      <c r="L36" s="54">
        <f t="shared" si="7"/>
        <v>0</v>
      </c>
    </row>
    <row r="37" spans="1:12" x14ac:dyDescent="0.2">
      <c r="A37" s="2">
        <v>75</v>
      </c>
      <c r="B37" s="1" t="s">
        <v>10</v>
      </c>
      <c r="C37" s="1" t="s">
        <v>4</v>
      </c>
      <c r="D37" s="8" t="s">
        <v>20</v>
      </c>
      <c r="E37" s="1" t="str" cm="1">
        <f t="array" ref="E37">_xlfn.SWITCH(D37,J$2,K$2,J$3,K$3,J$4,K$4)</f>
        <v>Buyer's Agent</v>
      </c>
      <c r="F37" s="3">
        <v>475000</v>
      </c>
      <c r="G37" s="3">
        <v>485000</v>
      </c>
      <c r="H37" s="4">
        <v>44371</v>
      </c>
      <c r="I37" s="4">
        <v>44457</v>
      </c>
      <c r="J37" s="12">
        <f t="shared" si="6"/>
        <v>86</v>
      </c>
      <c r="K37" s="27" cm="1">
        <f t="array" ref="K37">_xlfn.IFS(D37=J$2,G37*L$2,D37=J$3,G37*L$3,D37=J$4,G37*L$4)</f>
        <v>13337.5</v>
      </c>
      <c r="L37" s="54">
        <f t="shared" si="7"/>
        <v>0</v>
      </c>
    </row>
    <row r="38" spans="1:12" x14ac:dyDescent="0.2">
      <c r="A38" s="2">
        <v>78</v>
      </c>
      <c r="B38" s="1" t="s">
        <v>11</v>
      </c>
      <c r="C38" s="1" t="s">
        <v>4</v>
      </c>
      <c r="D38" s="8" t="s">
        <v>18</v>
      </c>
      <c r="E38" s="1" t="str" cm="1">
        <f t="array" ref="E38">_xlfn.SWITCH(D38,J$2,K$2,J$3,K$3,J$4,K$4)</f>
        <v>Dual Agency</v>
      </c>
      <c r="F38" s="3">
        <v>400000</v>
      </c>
      <c r="G38" s="3">
        <v>400000</v>
      </c>
      <c r="H38" s="4">
        <v>44377</v>
      </c>
      <c r="I38" s="4">
        <v>44392</v>
      </c>
      <c r="J38" s="12">
        <f t="shared" si="6"/>
        <v>15</v>
      </c>
      <c r="K38" s="27" cm="1">
        <f t="array" ref="K38">_xlfn.IFS(D38=J$2,G38*L$2,D38=J$3,G38*L$3,D38=J$4,G38*L$4)</f>
        <v>22000</v>
      </c>
      <c r="L38" s="54">
        <f t="shared" si="7"/>
        <v>1000</v>
      </c>
    </row>
    <row r="39" spans="1:12" x14ac:dyDescent="0.2">
      <c r="A39" s="2">
        <v>80</v>
      </c>
      <c r="B39" s="1" t="s">
        <v>11</v>
      </c>
      <c r="C39" s="1" t="s">
        <v>5</v>
      </c>
      <c r="D39" s="8" t="s">
        <v>19</v>
      </c>
      <c r="E39" s="1" t="str" cm="1">
        <f t="array" ref="E39">_xlfn.SWITCH(D39,J$2,K$2,J$3,K$3,J$4,K$4)</f>
        <v>Seller's Agent</v>
      </c>
      <c r="F39" s="3">
        <v>380500</v>
      </c>
      <c r="G39" s="3">
        <v>365750</v>
      </c>
      <c r="H39" s="4">
        <v>44377</v>
      </c>
      <c r="I39" s="4">
        <v>44440</v>
      </c>
      <c r="J39" s="12">
        <f t="shared" si="6"/>
        <v>63</v>
      </c>
      <c r="K39" s="27" cm="1">
        <f t="array" ref="K39">_xlfn.IFS(D39=J$2,G39*L$2,D39=J$3,G39*L$3,D39=J$4,G39*L$4)</f>
        <v>11886.875</v>
      </c>
      <c r="L39" s="54">
        <f t="shared" si="7"/>
        <v>0</v>
      </c>
    </row>
    <row r="40" spans="1:12" x14ac:dyDescent="0.2">
      <c r="A40" s="10"/>
      <c r="D40"/>
      <c r="E40" s="1"/>
    </row>
    <row r="41" spans="1:12" x14ac:dyDescent="0.2">
      <c r="D41" s="8"/>
      <c r="E41" s="1"/>
    </row>
    <row r="42" spans="1:12" x14ac:dyDescent="0.2">
      <c r="D42" s="8"/>
      <c r="E42" s="1"/>
    </row>
  </sheetData>
  <sortState xmlns:xlrd2="http://schemas.microsoft.com/office/spreadsheetml/2017/richdata2" ref="A12:L39">
    <sortCondition ref="A12:A39"/>
  </sortState>
  <pageMargins left="0.2" right="0.2" top="0.3" bottom="0.3" header="0.3" footer="0.3"/>
  <pageSetup scale="93" fitToHeight="2" orientation="landscape" horizontalDpi="200" verticalDpi="200" r:id="rId1"/>
  <headerFooter>
    <oddFooter>&amp;LKyler Suess&amp;CDetails&amp;Re07c1RealEstate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AC9B-1EE9-4D8E-B6BF-EBA495582F9D}">
  <sheetPr>
    <pageSetUpPr fitToPage="1"/>
  </sheetPr>
  <dimension ref="A1:C5"/>
  <sheetViews>
    <sheetView zoomScale="160" zoomScaleNormal="160" workbookViewId="0">
      <selection activeCell="L14" sqref="L14"/>
    </sheetView>
  </sheetViews>
  <sheetFormatPr defaultRowHeight="12.75" x14ac:dyDescent="0.2"/>
  <cols>
    <col min="1" max="1" width="13.28515625" bestFit="1" customWidth="1"/>
    <col min="2" max="2" width="13.28515625" customWidth="1"/>
    <col min="3" max="3" width="13.42578125" customWidth="1"/>
  </cols>
  <sheetData>
    <row r="1" spans="1:3" ht="25.5" x14ac:dyDescent="0.2">
      <c r="A1" s="48" t="s">
        <v>23</v>
      </c>
      <c r="B1" s="48" t="s">
        <v>31</v>
      </c>
      <c r="C1" s="50" t="s">
        <v>24</v>
      </c>
    </row>
    <row r="2" spans="1:3" x14ac:dyDescent="0.2">
      <c r="A2" s="22" t="s">
        <v>10</v>
      </c>
      <c r="B2" s="49">
        <v>84004</v>
      </c>
      <c r="C2" s="14">
        <v>601385.71428571432</v>
      </c>
    </row>
    <row r="3" spans="1:3" x14ac:dyDescent="0.2">
      <c r="A3" s="22" t="s">
        <v>11</v>
      </c>
      <c r="B3" s="49">
        <v>84003</v>
      </c>
      <c r="C3" s="14">
        <v>385794.44444444444</v>
      </c>
    </row>
    <row r="4" spans="1:3" x14ac:dyDescent="0.2">
      <c r="A4" s="22" t="s">
        <v>8</v>
      </c>
      <c r="B4" s="49">
        <v>84062</v>
      </c>
      <c r="C4" s="14">
        <v>640958.33333333337</v>
      </c>
    </row>
    <row r="5" spans="1:3" x14ac:dyDescent="0.2">
      <c r="A5" s="22" t="s">
        <v>9</v>
      </c>
      <c r="B5" s="49">
        <v>84043</v>
      </c>
      <c r="C5" s="14">
        <v>334666.66666666669</v>
      </c>
    </row>
  </sheetData>
  <printOptions horizontalCentered="1"/>
  <pageMargins left="1" right="1" top="1" bottom="0.75" header="0.3" footer="0.3"/>
  <pageSetup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08E2-5581-4C0B-B8EE-1D8251AFDD5B}">
  <sheetPr>
    <pageSetUpPr fitToPage="1"/>
  </sheetPr>
  <dimension ref="A1:E28"/>
  <sheetViews>
    <sheetView tabSelected="1" workbookViewId="0">
      <selection activeCell="E45" sqref="E45"/>
    </sheetView>
  </sheetViews>
  <sheetFormatPr defaultRowHeight="12.75" x14ac:dyDescent="0.2"/>
  <cols>
    <col min="1" max="1" width="19.140625" customWidth="1"/>
    <col min="2" max="2" width="12.28515625" bestFit="1" customWidth="1"/>
    <col min="3" max="3" width="9.7109375" bestFit="1" customWidth="1"/>
    <col min="4" max="4" width="11.7109375" bestFit="1" customWidth="1"/>
    <col min="5" max="5" width="12.28515625" bestFit="1" customWidth="1"/>
  </cols>
  <sheetData>
    <row r="1" spans="1:5" x14ac:dyDescent="0.2">
      <c r="A1" s="5" t="s">
        <v>47</v>
      </c>
      <c r="B1" s="10">
        <v>300000</v>
      </c>
    </row>
    <row r="2" spans="1:5" x14ac:dyDescent="0.2">
      <c r="A2" s="5" t="s">
        <v>37</v>
      </c>
      <c r="B2" s="6">
        <v>4.4999999999999998E-2</v>
      </c>
    </row>
    <row r="3" spans="1:5" x14ac:dyDescent="0.2">
      <c r="A3" s="5" t="s">
        <v>43</v>
      </c>
      <c r="B3" s="6">
        <f>B2/12</f>
        <v>3.7499999999999999E-3</v>
      </c>
    </row>
    <row r="4" spans="1:5" x14ac:dyDescent="0.2">
      <c r="A4" s="5" t="s">
        <v>38</v>
      </c>
      <c r="B4" s="43">
        <f>12*30</f>
        <v>360</v>
      </c>
    </row>
    <row r="5" spans="1:5" x14ac:dyDescent="0.2">
      <c r="A5" s="5" t="s">
        <v>39</v>
      </c>
      <c r="B5" s="42">
        <f>PMT(B3,B4,-B1)</f>
        <v>1520.0559294776419</v>
      </c>
    </row>
    <row r="7" spans="1:5" x14ac:dyDescent="0.2">
      <c r="A7" s="45" t="s">
        <v>40</v>
      </c>
      <c r="B7" s="45" t="s">
        <v>41</v>
      </c>
      <c r="C7" s="45" t="s">
        <v>42</v>
      </c>
      <c r="D7" s="45" t="s">
        <v>44</v>
      </c>
      <c r="E7" s="5"/>
    </row>
    <row r="8" spans="1:5" x14ac:dyDescent="0.2">
      <c r="A8" s="44">
        <v>1</v>
      </c>
      <c r="B8" s="11">
        <f>B1</f>
        <v>300000</v>
      </c>
      <c r="C8" s="42">
        <f>IPMT(B$3,A8,B$4,-B$1)</f>
        <v>1125</v>
      </c>
      <c r="D8" s="42">
        <f>PPMT(B$3,A8,B$4,-B$1)</f>
        <v>395.05592947764205</v>
      </c>
      <c r="E8" s="11"/>
    </row>
    <row r="9" spans="1:5" x14ac:dyDescent="0.2">
      <c r="A9" s="44">
        <v>2</v>
      </c>
      <c r="B9" s="11">
        <f>B8-D8</f>
        <v>299604.94407052238</v>
      </c>
      <c r="C9" s="42">
        <f t="shared" ref="C9:C19" si="0">IPMT(B$3,A9,B$4,-B$1)</f>
        <v>1123.5185402644586</v>
      </c>
      <c r="D9" s="42">
        <f t="shared" ref="D9:D19" si="1">PPMT(B$3,A9,B$4,-B$1)</f>
        <v>396.5373892131833</v>
      </c>
    </row>
    <row r="10" spans="1:5" x14ac:dyDescent="0.2">
      <c r="A10" s="44">
        <v>3</v>
      </c>
      <c r="B10" s="11">
        <f t="shared" ref="B10:B19" si="2">B9-D9</f>
        <v>299208.40668130922</v>
      </c>
      <c r="C10" s="42">
        <f t="shared" si="0"/>
        <v>1122.0315250549093</v>
      </c>
      <c r="D10" s="42">
        <f t="shared" si="1"/>
        <v>398.02440442273274</v>
      </c>
    </row>
    <row r="11" spans="1:5" x14ac:dyDescent="0.2">
      <c r="A11" s="44">
        <v>4</v>
      </c>
      <c r="B11" s="11">
        <f t="shared" si="2"/>
        <v>298810.38227688649</v>
      </c>
      <c r="C11" s="42">
        <f t="shared" si="0"/>
        <v>1120.538933538324</v>
      </c>
      <c r="D11" s="42">
        <f t="shared" si="1"/>
        <v>399.51699593931789</v>
      </c>
    </row>
    <row r="12" spans="1:5" x14ac:dyDescent="0.2">
      <c r="A12" s="44">
        <v>5</v>
      </c>
      <c r="B12" s="11">
        <f t="shared" si="2"/>
        <v>298410.86528094718</v>
      </c>
      <c r="C12" s="42">
        <f t="shared" si="0"/>
        <v>1119.0407448035517</v>
      </c>
      <c r="D12" s="42">
        <f t="shared" si="1"/>
        <v>401.01518467409045</v>
      </c>
    </row>
    <row r="13" spans="1:5" x14ac:dyDescent="0.2">
      <c r="A13" s="44">
        <v>6</v>
      </c>
      <c r="B13" s="11">
        <f t="shared" si="2"/>
        <v>298009.85009627312</v>
      </c>
      <c r="C13" s="42">
        <f t="shared" si="0"/>
        <v>1117.5369378610237</v>
      </c>
      <c r="D13" s="42">
        <f t="shared" si="1"/>
        <v>402.51899161661828</v>
      </c>
    </row>
    <row r="14" spans="1:5" x14ac:dyDescent="0.2">
      <c r="A14" s="44">
        <v>7</v>
      </c>
      <c r="B14" s="11">
        <f t="shared" si="2"/>
        <v>297607.33110465651</v>
      </c>
      <c r="C14" s="42">
        <f t="shared" si="0"/>
        <v>1116.0274916424614</v>
      </c>
      <c r="D14" s="42">
        <f t="shared" si="1"/>
        <v>404.02843783518057</v>
      </c>
    </row>
    <row r="15" spans="1:5" x14ac:dyDescent="0.2">
      <c r="A15" s="44">
        <v>8</v>
      </c>
      <c r="B15" s="11">
        <f t="shared" si="2"/>
        <v>297203.30266682134</v>
      </c>
      <c r="C15" s="42">
        <f t="shared" si="0"/>
        <v>1114.5123850005796</v>
      </c>
      <c r="D15" s="42">
        <f t="shared" si="1"/>
        <v>405.54354447706248</v>
      </c>
    </row>
    <row r="16" spans="1:5" x14ac:dyDescent="0.2">
      <c r="A16" s="44">
        <v>9</v>
      </c>
      <c r="B16" s="11">
        <f t="shared" si="2"/>
        <v>296797.75912234426</v>
      </c>
      <c r="C16" s="42">
        <f t="shared" si="0"/>
        <v>1112.9915967087907</v>
      </c>
      <c r="D16" s="42">
        <f t="shared" si="1"/>
        <v>407.06433276885139</v>
      </c>
    </row>
    <row r="17" spans="1:4" x14ac:dyDescent="0.2">
      <c r="A17" s="44">
        <v>10</v>
      </c>
      <c r="B17" s="11">
        <f t="shared" si="2"/>
        <v>296390.69478957541</v>
      </c>
      <c r="C17" s="42">
        <f t="shared" si="0"/>
        <v>1111.4651054609074</v>
      </c>
      <c r="D17" s="42">
        <f t="shared" si="1"/>
        <v>408.59082401673476</v>
      </c>
    </row>
    <row r="18" spans="1:4" x14ac:dyDescent="0.2">
      <c r="A18" s="44">
        <v>11</v>
      </c>
      <c r="B18" s="11">
        <f t="shared" si="2"/>
        <v>295982.10396555869</v>
      </c>
      <c r="C18" s="42">
        <f t="shared" si="0"/>
        <v>1109.9328898708445</v>
      </c>
      <c r="D18" s="42">
        <f t="shared" si="1"/>
        <v>410.12303960679742</v>
      </c>
    </row>
    <row r="19" spans="1:4" x14ac:dyDescent="0.2">
      <c r="A19" s="44">
        <v>12</v>
      </c>
      <c r="B19" s="11">
        <f t="shared" si="2"/>
        <v>295571.98092595191</v>
      </c>
      <c r="C19" s="42">
        <f t="shared" si="0"/>
        <v>1108.3949284723192</v>
      </c>
      <c r="D19" s="42">
        <f t="shared" si="1"/>
        <v>411.66100100532282</v>
      </c>
    </row>
    <row r="21" spans="1:4" x14ac:dyDescent="0.2">
      <c r="A21" s="45" t="s">
        <v>45</v>
      </c>
      <c r="B21" s="46"/>
    </row>
    <row r="22" spans="1:4" x14ac:dyDescent="0.2">
      <c r="A22" s="5" t="s">
        <v>42</v>
      </c>
      <c r="B22" s="10">
        <f>-CUMIPMT(B3,B4,B1,A8,A19,0)</f>
        <v>13400.991078678169</v>
      </c>
    </row>
    <row r="23" spans="1:4" x14ac:dyDescent="0.2">
      <c r="A23" s="5" t="s">
        <v>46</v>
      </c>
      <c r="B23" s="10">
        <f>-CUMPRINC(B3,B4,B1,A8,A19,0)</f>
        <v>4839.6800750535322</v>
      </c>
    </row>
    <row r="25" spans="1:4" x14ac:dyDescent="0.2">
      <c r="A25" s="47" t="s">
        <v>48</v>
      </c>
      <c r="B25" s="46"/>
      <c r="C25" s="46"/>
    </row>
    <row r="26" spans="1:4" x14ac:dyDescent="0.2">
      <c r="A26" s="5" t="s">
        <v>39</v>
      </c>
      <c r="B26" s="10">
        <v>1400</v>
      </c>
    </row>
    <row r="27" spans="1:4" x14ac:dyDescent="0.2">
      <c r="A27" s="5" t="s">
        <v>49</v>
      </c>
      <c r="B27" s="7">
        <f>RATE(B4,B26,-B1)</f>
        <v>3.177046024446122E-3</v>
      </c>
    </row>
    <row r="28" spans="1:4" x14ac:dyDescent="0.2">
      <c r="A28" s="5" t="s">
        <v>50</v>
      </c>
      <c r="B28" s="55">
        <f>B27*12</f>
        <v>3.8124552293353466E-2</v>
      </c>
    </row>
  </sheetData>
  <pageMargins left="0.2" right="0.2" top="0.75" bottom="0.75" header="0.3" footer="0.3"/>
  <pageSetup fitToHeight="2" orientation="portrait" r:id="rId1"/>
  <headerFooter>
    <oddFooter>&amp;LKyler Suess&amp;CLoan&amp;Re07c1RealEstate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Details</vt:lpstr>
      <vt:lpstr>Map</vt:lpstr>
      <vt:lpstr>Loan</vt:lpstr>
      <vt:lpstr>Details!Print_Titles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kyler suess</cp:lastModifiedBy>
  <cp:lastPrinted>2018-06-10T17:40:57Z</cp:lastPrinted>
  <dcterms:created xsi:type="dcterms:W3CDTF">2004-09-21T13:02:15Z</dcterms:created>
  <dcterms:modified xsi:type="dcterms:W3CDTF">2023-06-18T23:12:32Z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2077982347</vt:i4>
  </property>
  <property fmtid="{D5CDD505-2E9C-101B-9397-08002B2CF9AE}" pid="3" name="_EmailSubject">
    <vt:lpwstr>Version 3 - realty</vt:lpwstr>
  </property>
  <property fmtid="{D5CDD505-2E9C-101B-9397-08002B2CF9AE}" pid="4" name="_AuthorEmail">
    <vt:lpwstr>rgrauer@exchange.sba.miami.edu</vt:lpwstr>
  </property>
  <property fmtid="{D5CDD505-2E9C-101B-9397-08002B2CF9AE}" pid="5" name="_AuthorEmailDisplayName">
    <vt:lpwstr>Grauer, Robert T.</vt:lpwstr>
  </property>
  <property fmtid="{D5CDD505-2E9C-101B-9397-08002B2CF9AE}" pid="6" name="_ReviewingToolsShownOnce">
    <vt:lpwstr/>
  </property>
</Properties>
</file>