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ombardierinc-my.sharepoint.com/personal/amine_rouaifi_aero_bombardier_com/Documents/Amine/Nouveau dossier/"/>
    </mc:Choice>
  </mc:AlternateContent>
  <xr:revisionPtr revIDLastSave="562" documentId="8_{EFD07585-7380-427E-A912-C17F6452E7FA}" xr6:coauthVersionLast="47" xr6:coauthVersionMax="47" xr10:uidLastSave="{B259CC27-7351-4AB1-8C69-F6272629BF99}"/>
  <bookViews>
    <workbookView xWindow="-120" yWindow="-120" windowWidth="29040" windowHeight="15840" activeTab="1" xr2:uid="{58FD220F-4DEB-4C99-B61D-1778B8F275F0}"/>
  </bookViews>
  <sheets>
    <sheet name="Calculateur" sheetId="1" r:id="rId1"/>
    <sheet name="2025 Factures" sheetId="3" r:id="rId2"/>
    <sheet name="2026 Factures" sheetId="5" r:id="rId3"/>
    <sheet name="2024 Factures" sheetId="2" r:id="rId4"/>
    <sheet name="Sheet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26" i="3" s="1"/>
  <c r="D20" i="3"/>
  <c r="D23" i="3"/>
  <c r="D32" i="1"/>
  <c r="E32" i="1"/>
  <c r="O32" i="1" s="1"/>
  <c r="F32" i="1"/>
  <c r="G32" i="1"/>
  <c r="H32" i="1"/>
  <c r="I32" i="1"/>
  <c r="J32" i="1"/>
  <c r="K32" i="1"/>
  <c r="L32" i="1"/>
  <c r="M32" i="1"/>
  <c r="N32" i="1"/>
  <c r="C32" i="1"/>
  <c r="D36" i="1"/>
  <c r="E36" i="1"/>
  <c r="F36" i="1"/>
  <c r="G36" i="1"/>
  <c r="H36" i="1"/>
  <c r="I36" i="1"/>
  <c r="J36" i="1"/>
  <c r="K36" i="1"/>
  <c r="L36" i="1"/>
  <c r="M36" i="1"/>
  <c r="N36" i="1"/>
  <c r="C36" i="1"/>
  <c r="E37" i="1"/>
  <c r="E30" i="1" s="1"/>
  <c r="H37" i="1"/>
  <c r="H30" i="1" s="1"/>
  <c r="I37" i="1"/>
  <c r="I30" i="1" s="1"/>
  <c r="C37" i="1"/>
  <c r="C30" i="1" s="1"/>
  <c r="O37" i="1"/>
  <c r="D37" i="1" s="1"/>
  <c r="D30" i="1" s="1"/>
  <c r="N41" i="1"/>
  <c r="O41" i="1" s="1"/>
  <c r="O40" i="1"/>
  <c r="N29" i="1"/>
  <c r="M29" i="1"/>
  <c r="L29" i="1"/>
  <c r="K29" i="1"/>
  <c r="J29" i="1"/>
  <c r="I29" i="1"/>
  <c r="H29" i="1"/>
  <c r="G29" i="1"/>
  <c r="F29" i="1"/>
  <c r="E29" i="1"/>
  <c r="D29" i="1"/>
  <c r="C29" i="1"/>
  <c r="O27" i="1"/>
  <c r="O26" i="1"/>
  <c r="O25" i="1"/>
  <c r="AB9" i="1"/>
  <c r="AC16" i="1"/>
  <c r="AC9" i="1" s="1"/>
  <c r="AB16" i="1"/>
  <c r="A16" i="4"/>
  <c r="A15" i="4"/>
  <c r="AC20" i="1"/>
  <c r="AD20" i="1" s="1"/>
  <c r="AD19" i="1"/>
  <c r="S15" i="1"/>
  <c r="T15" i="1"/>
  <c r="U15" i="1"/>
  <c r="V15" i="1"/>
  <c r="W15" i="1"/>
  <c r="X15" i="1"/>
  <c r="Y15" i="1"/>
  <c r="Z15" i="1"/>
  <c r="AA15" i="1"/>
  <c r="AB15" i="1"/>
  <c r="AC15" i="1"/>
  <c r="S16" i="1"/>
  <c r="T16" i="1"/>
  <c r="U16" i="1"/>
  <c r="V16" i="1"/>
  <c r="W16" i="1"/>
  <c r="X16" i="1"/>
  <c r="Y16" i="1"/>
  <c r="Z16" i="1"/>
  <c r="AA16" i="1"/>
  <c r="R16" i="1"/>
  <c r="R15" i="1"/>
  <c r="W8" i="1"/>
  <c r="X9" i="1"/>
  <c r="X8" i="1"/>
  <c r="X13" i="1" s="1"/>
  <c r="R11" i="1"/>
  <c r="AD11" i="1" s="1"/>
  <c r="S11" i="1"/>
  <c r="T11" i="1"/>
  <c r="U11" i="1"/>
  <c r="V11" i="1"/>
  <c r="W11" i="1"/>
  <c r="X11" i="1"/>
  <c r="Y11" i="1"/>
  <c r="Z11" i="1"/>
  <c r="AA11" i="1"/>
  <c r="AC11" i="1"/>
  <c r="AB11" i="1"/>
  <c r="AA9" i="1"/>
  <c r="Z9" i="1"/>
  <c r="Y9" i="1"/>
  <c r="W9" i="1"/>
  <c r="V9" i="1"/>
  <c r="V13" i="1" s="1"/>
  <c r="U9" i="1"/>
  <c r="T9" i="1"/>
  <c r="S9" i="1"/>
  <c r="S13" i="1" s="1"/>
  <c r="R9" i="1"/>
  <c r="AC8" i="1"/>
  <c r="AB8" i="1"/>
  <c r="AA8" i="1"/>
  <c r="Z8" i="1"/>
  <c r="Y8" i="1"/>
  <c r="V8" i="1"/>
  <c r="U8" i="1"/>
  <c r="U13" i="1" s="1"/>
  <c r="T8" i="1"/>
  <c r="T13" i="1" s="1"/>
  <c r="S8" i="1"/>
  <c r="R8" i="1"/>
  <c r="AD6" i="1"/>
  <c r="AD5" i="1"/>
  <c r="AD4" i="1"/>
  <c r="N8" i="1"/>
  <c r="G14" i="2"/>
  <c r="D29" i="2"/>
  <c r="P10" i="2"/>
  <c r="D11" i="2"/>
  <c r="D37" i="2" s="1"/>
  <c r="N20" i="1"/>
  <c r="O20" i="1" s="1"/>
  <c r="O19" i="1"/>
  <c r="C11" i="1"/>
  <c r="O11" i="1" s="1"/>
  <c r="D11" i="1"/>
  <c r="E11" i="1"/>
  <c r="F11" i="1"/>
  <c r="G11" i="1"/>
  <c r="H11" i="1"/>
  <c r="I11" i="1"/>
  <c r="J11" i="1"/>
  <c r="K11" i="1"/>
  <c r="L11" i="1"/>
  <c r="M11" i="1"/>
  <c r="N11" i="1"/>
  <c r="C16" i="1"/>
  <c r="D16" i="1"/>
  <c r="E16" i="1"/>
  <c r="F16" i="1"/>
  <c r="G16" i="1"/>
  <c r="H16" i="1"/>
  <c r="I16" i="1"/>
  <c r="J16" i="1"/>
  <c r="K16" i="1"/>
  <c r="L16" i="1"/>
  <c r="M16" i="1"/>
  <c r="N16" i="1"/>
  <c r="C15" i="1"/>
  <c r="D15" i="1"/>
  <c r="E15" i="1"/>
  <c r="F15" i="1"/>
  <c r="G15" i="1"/>
  <c r="H15" i="1"/>
  <c r="I15" i="1"/>
  <c r="J15" i="1"/>
  <c r="K15" i="1"/>
  <c r="L15" i="1"/>
  <c r="M15" i="1"/>
  <c r="N15" i="1"/>
  <c r="C9" i="1"/>
  <c r="D9" i="1"/>
  <c r="E9" i="1"/>
  <c r="F9" i="1"/>
  <c r="G9" i="1"/>
  <c r="H9" i="1"/>
  <c r="I9" i="1"/>
  <c r="J9" i="1"/>
  <c r="K9" i="1"/>
  <c r="L9" i="1"/>
  <c r="M9" i="1"/>
  <c r="N9" i="1"/>
  <c r="C8" i="1"/>
  <c r="D8" i="1"/>
  <c r="E8" i="1"/>
  <c r="F8" i="1"/>
  <c r="G8" i="1"/>
  <c r="H8" i="1"/>
  <c r="I8" i="1"/>
  <c r="J8" i="1"/>
  <c r="K8" i="1"/>
  <c r="L8" i="1"/>
  <c r="M8" i="1"/>
  <c r="O5" i="1"/>
  <c r="O6" i="1"/>
  <c r="O4" i="1"/>
  <c r="N13" i="1" l="1"/>
  <c r="H13" i="1"/>
  <c r="G13" i="1"/>
  <c r="N37" i="1"/>
  <c r="N30" i="1" s="1"/>
  <c r="M37" i="1"/>
  <c r="M30" i="1" s="1"/>
  <c r="L37" i="1"/>
  <c r="L30" i="1" s="1"/>
  <c r="L34" i="1" s="1"/>
  <c r="K37" i="1"/>
  <c r="K30" i="1" s="1"/>
  <c r="J37" i="1"/>
  <c r="J30" i="1" s="1"/>
  <c r="J34" i="1" s="1"/>
  <c r="G37" i="1"/>
  <c r="G30" i="1" s="1"/>
  <c r="F37" i="1"/>
  <c r="F30" i="1" s="1"/>
  <c r="C34" i="1"/>
  <c r="D34" i="1"/>
  <c r="E34" i="1"/>
  <c r="K34" i="1"/>
  <c r="H34" i="1"/>
  <c r="I34" i="1"/>
  <c r="M34" i="1"/>
  <c r="O30" i="1"/>
  <c r="N34" i="1"/>
  <c r="F34" i="1"/>
  <c r="O29" i="1"/>
  <c r="G34" i="1"/>
  <c r="AB13" i="1"/>
  <c r="Z13" i="1"/>
  <c r="AA13" i="1"/>
  <c r="AC13" i="1"/>
  <c r="AD9" i="1"/>
  <c r="W13" i="1"/>
  <c r="Y13" i="1"/>
  <c r="R13" i="1"/>
  <c r="AD8" i="1"/>
  <c r="G7" i="2"/>
  <c r="L13" i="1"/>
  <c r="K13" i="1"/>
  <c r="O8" i="1"/>
  <c r="C13" i="1"/>
  <c r="O9" i="1"/>
  <c r="O13" i="1" s="1"/>
  <c r="M13" i="1"/>
  <c r="I13" i="1"/>
  <c r="F13" i="1"/>
  <c r="J13" i="1"/>
  <c r="E13" i="1"/>
  <c r="D13" i="1"/>
  <c r="O34" i="1" l="1"/>
  <c r="AD1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<sst xmlns="http://schemas.openxmlformats.org/spreadsheetml/2006/main" count="193" uniqueCount="105">
  <si>
    <t>Sous sol</t>
  </si>
  <si>
    <t>1er</t>
  </si>
  <si>
    <t>2e</t>
  </si>
  <si>
    <t>Total</t>
  </si>
  <si>
    <t>Assurances</t>
  </si>
  <si>
    <t>Interets</t>
  </si>
  <si>
    <t>Total income</t>
  </si>
  <si>
    <t>Total payment</t>
  </si>
  <si>
    <t>Impôt foncier</t>
  </si>
  <si>
    <t>Hydro</t>
  </si>
  <si>
    <t>Dépenses</t>
  </si>
  <si>
    <t>Arbre</t>
  </si>
  <si>
    <t>Dépense</t>
  </si>
  <si>
    <t>prix</t>
  </si>
  <si>
    <t>Date</t>
  </si>
  <si>
    <t>Abattage arbre tombé</t>
  </si>
  <si>
    <t>Total 2024</t>
  </si>
  <si>
    <t>Prix</t>
  </si>
  <si>
    <t>Justificatif</t>
  </si>
  <si>
    <t>Home dépôt - Cadrage, Vestibule</t>
  </si>
  <si>
    <t>Column1</t>
  </si>
  <si>
    <t>Compagnie</t>
  </si>
  <si>
    <t>Arboplus</t>
  </si>
  <si>
    <t>Home Dépot</t>
  </si>
  <si>
    <t>GL ULT</t>
  </si>
  <si>
    <t>Rona</t>
  </si>
  <si>
    <t>hotte de cuisine</t>
  </si>
  <si>
    <t>Canadian Tire</t>
  </si>
  <si>
    <t>Scie, lame, mousse</t>
  </si>
  <si>
    <t>Rénot Dépôt</t>
  </si>
  <si>
    <t>Peinture</t>
  </si>
  <si>
    <t>Dollarama</t>
  </si>
  <si>
    <t>Porte clef</t>
  </si>
  <si>
    <t>Crepine evier</t>
  </si>
  <si>
    <t>Bec baignoire, rallonge</t>
  </si>
  <si>
    <t>Roblav dz reno</t>
  </si>
  <si>
    <t>1/13/2024</t>
  </si>
  <si>
    <t>Clou</t>
  </si>
  <si>
    <t>Cadrage, bouton</t>
  </si>
  <si>
    <t>Cadrage</t>
  </si>
  <si>
    <t>Cordon, prise, éponge</t>
  </si>
  <si>
    <t>Bache</t>
  </si>
  <si>
    <t>Nettoyant, pinceaux</t>
  </si>
  <si>
    <t>Materiel peinture</t>
  </si>
  <si>
    <t>Agraffe et clouteuse</t>
  </si>
  <si>
    <t>Bureau en Gros</t>
  </si>
  <si>
    <t>Formulaire Bail</t>
  </si>
  <si>
    <t>ACC proche</t>
  </si>
  <si>
    <t>Aerosol, ruban</t>
  </si>
  <si>
    <t>Lev Cont CL</t>
  </si>
  <si>
    <t>Moustiquaire</t>
  </si>
  <si>
    <t>Hk CLE Coupe</t>
  </si>
  <si>
    <t>Charniere, meche foret</t>
  </si>
  <si>
    <t>Chauffage sous-sol Stelpro, Bouchon</t>
  </si>
  <si>
    <t xml:space="preserve">Antoni réparation dégat voisin </t>
  </si>
  <si>
    <t>Mur et cloture</t>
  </si>
  <si>
    <t>Vérification crédit</t>
  </si>
  <si>
    <t>TRAK</t>
  </si>
  <si>
    <t>mise de fond</t>
  </si>
  <si>
    <t>revenue</t>
  </si>
  <si>
    <t>achat</t>
  </si>
  <si>
    <t>revenus locatifs</t>
  </si>
  <si>
    <t>Scenario</t>
  </si>
  <si>
    <t>Qualifications</t>
  </si>
  <si>
    <t>Mise de fond</t>
  </si>
  <si>
    <t>Scenario 2</t>
  </si>
  <si>
    <t>20% mise de fond avec coemprunteur</t>
  </si>
  <si>
    <t xml:space="preserve"> </t>
  </si>
  <si>
    <t>Compteur Electrique sous sol</t>
  </si>
  <si>
    <t>Thermopompe</t>
  </si>
  <si>
    <t>Taxes municipales</t>
  </si>
  <si>
    <t>Taxes Municipales 1er versement</t>
  </si>
  <si>
    <t>Taxes Municipales 2e versement</t>
  </si>
  <si>
    <t>Taxes Scolaires 1er versement</t>
  </si>
  <si>
    <t>Taxes Scolaires 1e versement</t>
  </si>
  <si>
    <t>Taxes Municipales arérage 2025-02-17</t>
  </si>
  <si>
    <t>Total 2026</t>
  </si>
  <si>
    <t>14/12/2025</t>
  </si>
  <si>
    <t>Kijiji publicité 1671</t>
  </si>
  <si>
    <t>voir facture facebook</t>
  </si>
  <si>
    <t>Facebook pub</t>
  </si>
  <si>
    <t>Catégorie</t>
  </si>
  <si>
    <t>Matériaux</t>
  </si>
  <si>
    <t>Professionnel</t>
  </si>
  <si>
    <t>Équipments</t>
  </si>
  <si>
    <t>Taxes</t>
  </si>
  <si>
    <t>Publicités</t>
  </si>
  <si>
    <t>Chaque mois</t>
  </si>
  <si>
    <t>Home dépôt</t>
  </si>
  <si>
    <t>all year</t>
  </si>
  <si>
    <t>Interet</t>
  </si>
  <si>
    <t>février a décembre</t>
  </si>
  <si>
    <t>Hydro-Québec</t>
  </si>
  <si>
    <t>Services publics</t>
  </si>
  <si>
    <t>Hydro-solution</t>
  </si>
  <si>
    <t>All year</t>
  </si>
  <si>
    <t>Dewalt viseuse</t>
  </si>
  <si>
    <t>Uniprix</t>
  </si>
  <si>
    <t>Bail logement</t>
  </si>
  <si>
    <t>ventilateur salle de bain etc</t>
  </si>
  <si>
    <t>stelpro, bouchon baignoire</t>
  </si>
  <si>
    <t>divers</t>
  </si>
  <si>
    <t>Notaire refinancement</t>
  </si>
  <si>
    <t>Facture</t>
  </si>
  <si>
    <t>Décembre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</si>
</sst>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164" fontId="0" fillId="0" borderId="0" xfId="1" applyNumberFormat="1" applyFont="1" applyAlignment="1">
      <alignment horizontal="center"/>
    </xf>
    <xf numFmtId="0" fontId="0" fillId="0" borderId="1" xfId="0" applyBorder="1"/>
    <xf numFmtId="164" fontId="0" fillId="0" borderId="2" xfId="1" applyNumberFormat="1" applyFont="1" applyBorder="1" applyAlignment="1">
      <alignment horizontal="center"/>
    </xf>
    <xf numFmtId="0" fontId="0" fillId="0" borderId="4" xfId="0" applyBorder="1"/>
    <xf numFmtId="164" fontId="0" fillId="0" borderId="5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164" fontId="0" fillId="0" borderId="10" xfId="1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0" fontId="3" fillId="0" borderId="9" xfId="0" applyFont="1" applyBorder="1"/>
    <xf numFmtId="44" fontId="0" fillId="0" borderId="5" xfId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17" fontId="0" fillId="0" borderId="0" xfId="0" applyNumberFormat="1"/>
    <xf numFmtId="0" fontId="0" fillId="2" borderId="8" xfId="0" applyFill="1" applyBorder="1" applyAlignment="1">
      <alignment horizontal="center"/>
    </xf>
    <xf numFmtId="164" fontId="0" fillId="2" borderId="8" xfId="1" applyNumberFormat="1" applyFont="1" applyFill="1" applyBorder="1" applyAlignment="1">
      <alignment horizontal="center"/>
    </xf>
    <xf numFmtId="164" fontId="0" fillId="2" borderId="6" xfId="1" applyNumberFormat="1" applyFont="1" applyFill="1" applyBorder="1" applyAlignment="1">
      <alignment horizontal="center"/>
    </xf>
    <xf numFmtId="164" fontId="0" fillId="2" borderId="3" xfId="1" applyNumberFormat="1" applyFont="1" applyFill="1" applyBorder="1" applyAlignment="1">
      <alignment horizontal="center"/>
    </xf>
    <xf numFmtId="164" fontId="0" fillId="2" borderId="11" xfId="1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44" fontId="0" fillId="4" borderId="16" xfId="1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5" fillId="0" borderId="19" xfId="0" applyFont="1" applyBorder="1"/>
    <xf numFmtId="14" fontId="5" fillId="0" borderId="17" xfId="0" applyNumberFormat="1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44" fontId="5" fillId="0" borderId="18" xfId="1" applyFont="1" applyBorder="1"/>
    <xf numFmtId="0" fontId="0" fillId="4" borderId="0" xfId="0" applyFill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164" fontId="0" fillId="2" borderId="5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10" xfId="1" applyNumberFormat="1" applyFont="1" applyFill="1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0" fillId="0" borderId="10" xfId="0" applyBorder="1"/>
    <xf numFmtId="0" fontId="3" fillId="0" borderId="10" xfId="0" applyFont="1" applyBorder="1"/>
    <xf numFmtId="0" fontId="0" fillId="5" borderId="0" xfId="0" applyFill="1" applyAlignment="1">
      <alignment horizontal="center"/>
    </xf>
    <xf numFmtId="164" fontId="0" fillId="5" borderId="0" xfId="1" applyNumberFormat="1" applyFont="1" applyFill="1" applyBorder="1" applyAlignment="1">
      <alignment horizontal="center"/>
    </xf>
    <xf numFmtId="0" fontId="0" fillId="5" borderId="0" xfId="0" applyFill="1"/>
    <xf numFmtId="164" fontId="2" fillId="5" borderId="0" xfId="1" applyNumberFormat="1" applyFont="1" applyFill="1" applyBorder="1" applyAlignment="1">
      <alignment horizontal="center" vertical="center"/>
    </xf>
    <xf numFmtId="9" fontId="0" fillId="0" borderId="0" xfId="2" applyFont="1"/>
    <xf numFmtId="44" fontId="0" fillId="4" borderId="16" xfId="0" applyNumberFormat="1" applyFill="1" applyBorder="1" applyAlignment="1">
      <alignment horizontal="center" vertical="center"/>
    </xf>
    <xf numFmtId="164" fontId="0" fillId="6" borderId="2" xfId="1" applyNumberFormat="1" applyFont="1" applyFill="1" applyBorder="1" applyAlignment="1">
      <alignment horizontal="center"/>
    </xf>
    <xf numFmtId="44" fontId="0" fillId="7" borderId="16" xfId="0" applyNumberFormat="1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 wrapText="1"/>
    </xf>
    <xf numFmtId="44" fontId="0" fillId="4" borderId="0" xfId="0" applyNumberFormat="1" applyFill="1" applyAlignment="1">
      <alignment horizontal="center" vertical="center"/>
    </xf>
    <xf numFmtId="44" fontId="0" fillId="4" borderId="16" xfId="1" applyFont="1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 wrapText="1"/>
    </xf>
    <xf numFmtId="44" fontId="0" fillId="4" borderId="16" xfId="0" applyNumberFormat="1" applyFill="1" applyBorder="1" applyAlignment="1">
      <alignment horizontal="left" vertical="center"/>
    </xf>
    <xf numFmtId="14" fontId="0" fillId="4" borderId="16" xfId="0" applyNumberFormat="1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34"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23/09/relationships/Python" Target="pytho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254000</xdr:colOff>
      <xdr:row>3</xdr:row>
      <xdr:rowOff>29882</xdr:rowOff>
    </xdr:from>
    <xdr:to>
      <xdr:col>4</xdr:col>
      <xdr:colOff>660400</xdr:colOff>
      <xdr:row>4</xdr:row>
      <xdr:rowOff>9712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566393E-8F08-AC46-EF79-4A211E39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0" y="626782"/>
          <a:ext cx="406400" cy="5259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590632</xdr:colOff>
      <xdr:row>5</xdr:row>
      <xdr:rowOff>762106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25FA80-674C-B573-D043-A28F31370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019175"/>
          <a:ext cx="590632" cy="76210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0F628-189A-4628-A5FA-5DD5D2695464}" name="Table2" displayName="Table2" ref="A3:F26" totalsRowCount="1" headerRowDxfId="33" headerRowBorderDxfId="32" tableBorderDxfId="31" totalsRowBorderDxfId="30">
  <autoFilter ref="A3:F25" xr:uid="{BA50F628-189A-4628-A5FA-5DD5D2695464}"/>
  <tableColumns count="6">
    <tableColumn id="1" xr3:uid="{C904B40A-95F8-4347-A7CE-083BA47D10F5}" name="Date" totalsRowLabel="Total" dataDxfId="29" totalsRowDxfId="5"/>
    <tableColumn id="6" xr3:uid="{18F4A9EB-EE43-49C6-B868-99A9469664CD}" name="Catégorie" totalsRowLabel="Total" dataDxfId="28" totalsRowDxfId="4"/>
    <tableColumn id="2" xr3:uid="{6C0A93C5-0538-4D26-9DFD-1077EDF5B897}" name="Dépense" totalsRowLabel="Total" dataDxfId="27" totalsRowDxfId="3"/>
    <tableColumn id="3" xr3:uid="{0EBD617B-5E45-4B3A-AE10-6B7096C70251}" name="prix" totalsRowFunction="sum" dataDxfId="26" totalsRowDxfId="2"/>
    <tableColumn id="5" xr3:uid="{37C20558-9C3D-48AE-8393-C46A02B9E7D9}" name="Justificatif" dataDxfId="25" totalsRowDxfId="1"/>
    <tableColumn id="4" xr3:uid="{819FAA81-602B-4118-8A9F-1B963EE2FCAA}" name="Facture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CDCFD7-CC40-3F47-9147-1957A1772DFF}" name="Table24" displayName="Table24" ref="A3:E9" totalsRowShown="0" headerRowDxfId="24" headerRowBorderDxfId="23" tableBorderDxfId="22" totalsRowBorderDxfId="21">
  <autoFilter ref="A3:E9" xr:uid="{04CDCFD7-CC40-3F47-9147-1957A1772DFF}"/>
  <tableColumns count="5">
    <tableColumn id="1" xr3:uid="{D30758A8-144B-7441-B14E-1FF4508F0A85}" name="Date" dataDxfId="20"/>
    <tableColumn id="4" xr3:uid="{BB9701BB-B257-384D-82B3-1D955E7E72B7}" name="Column1" dataDxfId="19"/>
    <tableColumn id="2" xr3:uid="{4236076E-FC7D-6545-A728-C5401C464363}" name="Dépense" dataDxfId="18"/>
    <tableColumn id="3" xr3:uid="{A0707B29-7EA9-EC44-8A92-51CD726B31D5}" name="prix" dataDxfId="17"/>
    <tableColumn id="5" xr3:uid="{2CC8AF1C-A294-4749-B10D-79E7E928C4CA}" name="Justificatif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85511F-589B-4615-B690-AE07DAC987A1}" name="Table1" displayName="Table1" ref="A5:E37" totalsRowCount="1" headerRowDxfId="15">
  <autoFilter ref="A5:E36" xr:uid="{0085511F-589B-4615-B690-AE07DAC987A1}"/>
  <tableColumns count="5">
    <tableColumn id="1" xr3:uid="{9B56D2A3-D517-4B1E-89DC-CB1E487D6AD5}" name="Date" totalsRowDxfId="14"/>
    <tableColumn id="5" xr3:uid="{DBC2266C-8D97-427B-BC8B-82F2DE294513}" name="Compagnie" dataDxfId="13" totalsRowDxfId="12"/>
    <tableColumn id="2" xr3:uid="{A11F6212-CAB1-4BF0-A90E-96D9C65C5FB7}" name="Dépense" dataDxfId="11" totalsRowDxfId="10"/>
    <tableColumn id="3" xr3:uid="{F70B9CF8-67B6-4135-8382-401EF244C390}" name="Prix" totalsRowFunction="sum" totalsRowDxfId="9"/>
    <tableColumn id="4" xr3:uid="{42DE0420-A913-4A8A-B865-F07B4C883AA8}" name="Justifica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BD Theme">
      <a:dk1>
        <a:srgbClr val="202020"/>
      </a:dk1>
      <a:lt1>
        <a:srgbClr val="FDFBF3"/>
      </a:lt1>
      <a:dk2>
        <a:srgbClr val="000000"/>
      </a:dk2>
      <a:lt2>
        <a:srgbClr val="FEFDF9"/>
      </a:lt2>
      <a:accent1>
        <a:srgbClr val="4B4846"/>
      </a:accent1>
      <a:accent2>
        <a:srgbClr val="89674A"/>
      </a:accent2>
      <a:accent3>
        <a:srgbClr val="D1C5B2"/>
      </a:accent3>
      <a:accent4>
        <a:srgbClr val="C7B289"/>
      </a:accent4>
      <a:accent5>
        <a:srgbClr val="F3C802"/>
      </a:accent5>
      <a:accent6>
        <a:srgbClr val="9F9E9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8FB1-39C2-4B47-8EE7-56A6884C23E0}">
  <dimension ref="B1:AD41"/>
  <sheetViews>
    <sheetView showGridLines="0" topLeftCell="F1" zoomScale="104" workbookViewId="0">
      <selection activeCell="AD11" sqref="AD11"/>
    </sheetView>
  </sheetViews>
  <sheetFormatPr defaultColWidth="8.85546875" defaultRowHeight="15" x14ac:dyDescent="0.25"/>
  <cols>
    <col min="2" max="2" width="13.42578125" customWidth="1"/>
    <col min="3" max="4" width="13.42578125" bestFit="1" customWidth="1"/>
    <col min="5" max="14" width="11.7109375" bestFit="1" customWidth="1"/>
    <col min="15" max="15" width="13.7109375" bestFit="1" customWidth="1"/>
    <col min="16" max="16" width="2.28515625" customWidth="1"/>
  </cols>
  <sheetData>
    <row r="1" spans="2:30" ht="15.75" thickBot="1" x14ac:dyDescent="0.3"/>
    <row r="2" spans="2:30" ht="15.75" thickBot="1" x14ac:dyDescent="0.3">
      <c r="B2" s="65">
        <v>2024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49"/>
      <c r="Q2" s="66">
        <v>2025</v>
      </c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7"/>
    </row>
    <row r="3" spans="2:30" x14ac:dyDescent="0.25">
      <c r="B3" s="7"/>
      <c r="C3" s="15">
        <v>45292</v>
      </c>
      <c r="D3" s="15">
        <v>45323</v>
      </c>
      <c r="E3" s="15">
        <v>45352</v>
      </c>
      <c r="F3" s="15">
        <v>45383</v>
      </c>
      <c r="G3" s="15">
        <v>45413</v>
      </c>
      <c r="H3" s="15">
        <v>45444</v>
      </c>
      <c r="I3" s="15">
        <v>45474</v>
      </c>
      <c r="J3" s="15">
        <v>45505</v>
      </c>
      <c r="K3" s="15">
        <v>45536</v>
      </c>
      <c r="L3" s="15">
        <v>45566</v>
      </c>
      <c r="M3" s="15">
        <v>45597</v>
      </c>
      <c r="N3" s="15">
        <v>45627</v>
      </c>
      <c r="O3" s="40" t="s">
        <v>16</v>
      </c>
      <c r="P3" s="49"/>
      <c r="R3" s="15">
        <v>45658</v>
      </c>
      <c r="S3" s="15">
        <v>45689</v>
      </c>
      <c r="T3" s="15">
        <v>45717</v>
      </c>
      <c r="U3" s="15">
        <v>45748</v>
      </c>
      <c r="V3" s="15">
        <v>45778</v>
      </c>
      <c r="W3" s="15">
        <v>45809</v>
      </c>
      <c r="X3" s="15">
        <v>45839</v>
      </c>
      <c r="Y3" s="15">
        <v>45870</v>
      </c>
      <c r="Z3" s="15">
        <v>45901</v>
      </c>
      <c r="AA3" s="15">
        <v>45931</v>
      </c>
      <c r="AB3" s="15">
        <v>45962</v>
      </c>
      <c r="AC3" s="15">
        <v>45992</v>
      </c>
      <c r="AD3" s="16" t="s">
        <v>16</v>
      </c>
    </row>
    <row r="4" spans="2:30" x14ac:dyDescent="0.25">
      <c r="B4" s="7" t="s">
        <v>0</v>
      </c>
      <c r="C4" s="6">
        <v>1150</v>
      </c>
      <c r="D4" s="6">
        <v>1150</v>
      </c>
      <c r="E4" s="6">
        <v>1150</v>
      </c>
      <c r="F4" s="6">
        <v>1150</v>
      </c>
      <c r="G4" s="6">
        <v>1150</v>
      </c>
      <c r="H4" s="6">
        <v>1150</v>
      </c>
      <c r="I4" s="6">
        <v>1170</v>
      </c>
      <c r="J4" s="6">
        <v>1170</v>
      </c>
      <c r="K4" s="6">
        <v>1170</v>
      </c>
      <c r="L4" s="6">
        <v>1170</v>
      </c>
      <c r="M4" s="6">
        <v>1170</v>
      </c>
      <c r="N4" s="6">
        <v>1170</v>
      </c>
      <c r="O4" s="41">
        <f>SUM(C4:N4)</f>
        <v>13920</v>
      </c>
      <c r="P4" s="50"/>
      <c r="Q4" t="s">
        <v>0</v>
      </c>
      <c r="R4" s="6">
        <v>1170</v>
      </c>
      <c r="S4" s="6">
        <v>1170</v>
      </c>
      <c r="T4" s="6">
        <v>1170</v>
      </c>
      <c r="U4" s="6">
        <v>1170</v>
      </c>
      <c r="V4" s="6">
        <v>1170</v>
      </c>
      <c r="W4" s="6">
        <v>1170</v>
      </c>
      <c r="X4" s="6">
        <v>1190</v>
      </c>
      <c r="Y4" s="6">
        <v>1190</v>
      </c>
      <c r="Z4" s="6">
        <v>1190</v>
      </c>
      <c r="AA4" s="6">
        <v>1190</v>
      </c>
      <c r="AB4" s="6">
        <v>1190</v>
      </c>
      <c r="AC4" s="6">
        <v>1190</v>
      </c>
      <c r="AD4" s="17">
        <f>SUM(R4:AC4)</f>
        <v>14160</v>
      </c>
    </row>
    <row r="5" spans="2:30" x14ac:dyDescent="0.25">
      <c r="B5" s="7" t="s">
        <v>1</v>
      </c>
      <c r="C5" s="6">
        <v>1200</v>
      </c>
      <c r="D5" s="6">
        <v>1200</v>
      </c>
      <c r="E5" s="6">
        <v>1200</v>
      </c>
      <c r="F5" s="6">
        <v>1200</v>
      </c>
      <c r="G5" s="6">
        <v>1200</v>
      </c>
      <c r="H5" s="6">
        <v>1200</v>
      </c>
      <c r="I5" s="6">
        <v>1225</v>
      </c>
      <c r="J5" s="6">
        <v>1225</v>
      </c>
      <c r="K5" s="6">
        <v>1225</v>
      </c>
      <c r="L5" s="6">
        <v>1225</v>
      </c>
      <c r="M5" s="6">
        <v>1225</v>
      </c>
      <c r="N5" s="6">
        <v>1225</v>
      </c>
      <c r="O5" s="41">
        <f t="shared" ref="O5:O9" si="0">SUM(C5:N5)</f>
        <v>14550</v>
      </c>
      <c r="P5" s="50"/>
      <c r="Q5" t="s">
        <v>1</v>
      </c>
      <c r="R5" s="6">
        <v>1225</v>
      </c>
      <c r="S5" s="6">
        <v>1225</v>
      </c>
      <c r="T5" s="6">
        <v>1225</v>
      </c>
      <c r="U5" s="6">
        <v>1225</v>
      </c>
      <c r="V5" s="6">
        <v>1225</v>
      </c>
      <c r="W5" s="6">
        <v>1225</v>
      </c>
      <c r="X5" s="6">
        <v>1700</v>
      </c>
      <c r="Y5" s="6">
        <v>1700</v>
      </c>
      <c r="Z5" s="6">
        <v>1700</v>
      </c>
      <c r="AA5" s="6">
        <v>1700</v>
      </c>
      <c r="AB5" s="6">
        <v>0</v>
      </c>
      <c r="AC5" s="6">
        <v>0</v>
      </c>
      <c r="AD5" s="17">
        <f t="shared" ref="AD5:AD6" si="1">SUM(R5:AC5)</f>
        <v>14150</v>
      </c>
    </row>
    <row r="6" spans="2:30" x14ac:dyDescent="0.25">
      <c r="B6" s="4" t="s">
        <v>2</v>
      </c>
      <c r="C6" s="5"/>
      <c r="D6" s="5"/>
      <c r="E6" s="5">
        <v>1600</v>
      </c>
      <c r="F6" s="5">
        <v>1600</v>
      </c>
      <c r="G6" s="5">
        <v>1600</v>
      </c>
      <c r="H6" s="5">
        <v>1600</v>
      </c>
      <c r="I6" s="5">
        <v>1600</v>
      </c>
      <c r="J6" s="5">
        <v>1600</v>
      </c>
      <c r="K6" s="5">
        <v>1600</v>
      </c>
      <c r="L6" s="5">
        <v>1600</v>
      </c>
      <c r="M6" s="5">
        <v>1600</v>
      </c>
      <c r="N6" s="5">
        <v>1600</v>
      </c>
      <c r="O6" s="42">
        <f t="shared" si="0"/>
        <v>16000</v>
      </c>
      <c r="P6" s="50"/>
      <c r="Q6" s="45" t="s">
        <v>2</v>
      </c>
      <c r="R6" s="5">
        <v>1600</v>
      </c>
      <c r="S6" s="5">
        <v>1600</v>
      </c>
      <c r="T6" s="5">
        <v>1600</v>
      </c>
      <c r="U6" s="5">
        <v>1600</v>
      </c>
      <c r="V6" s="5">
        <v>2000</v>
      </c>
      <c r="W6" s="5">
        <v>2000</v>
      </c>
      <c r="X6" s="5">
        <v>2000</v>
      </c>
      <c r="Y6" s="5">
        <v>2000</v>
      </c>
      <c r="Z6" s="5">
        <v>2000</v>
      </c>
      <c r="AA6" s="5">
        <v>2000</v>
      </c>
      <c r="AB6" s="5">
        <v>2000</v>
      </c>
      <c r="AC6" s="5">
        <v>2000</v>
      </c>
      <c r="AD6" s="18">
        <f t="shared" si="1"/>
        <v>22400</v>
      </c>
    </row>
    <row r="7" spans="2:30" ht="9" customHeigh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50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2:30" x14ac:dyDescent="0.25">
      <c r="B8" s="2" t="s">
        <v>6</v>
      </c>
      <c r="C8" s="3">
        <f t="shared" ref="C8:M8" si="2">SUM(C4:C6)</f>
        <v>2350</v>
      </c>
      <c r="D8" s="3">
        <f t="shared" si="2"/>
        <v>2350</v>
      </c>
      <c r="E8" s="3">
        <f t="shared" si="2"/>
        <v>3950</v>
      </c>
      <c r="F8" s="3">
        <f t="shared" si="2"/>
        <v>3950</v>
      </c>
      <c r="G8" s="3">
        <f t="shared" si="2"/>
        <v>3950</v>
      </c>
      <c r="H8" s="3">
        <f t="shared" si="2"/>
        <v>3950</v>
      </c>
      <c r="I8" s="3">
        <f t="shared" si="2"/>
        <v>3995</v>
      </c>
      <c r="J8" s="3">
        <f t="shared" si="2"/>
        <v>3995</v>
      </c>
      <c r="K8" s="3">
        <f t="shared" si="2"/>
        <v>3995</v>
      </c>
      <c r="L8" s="3">
        <f t="shared" si="2"/>
        <v>3995</v>
      </c>
      <c r="M8" s="3">
        <f t="shared" si="2"/>
        <v>3995</v>
      </c>
      <c r="N8" s="3">
        <f>SUM(N4:N6)</f>
        <v>3995</v>
      </c>
      <c r="O8" s="43">
        <f t="shared" si="0"/>
        <v>44470</v>
      </c>
      <c r="P8" s="50"/>
      <c r="Q8" s="46" t="s">
        <v>6</v>
      </c>
      <c r="R8" s="3">
        <f t="shared" ref="R8:AB8" si="3">SUM(R4:R6)</f>
        <v>3995</v>
      </c>
      <c r="S8" s="3">
        <f t="shared" si="3"/>
        <v>3995</v>
      </c>
      <c r="T8" s="3">
        <f t="shared" si="3"/>
        <v>3995</v>
      </c>
      <c r="U8" s="3">
        <f t="shared" si="3"/>
        <v>3995</v>
      </c>
      <c r="V8" s="3">
        <f t="shared" si="3"/>
        <v>4395</v>
      </c>
      <c r="W8" s="3">
        <f t="shared" si="3"/>
        <v>4395</v>
      </c>
      <c r="X8" s="3">
        <f>SUM(X4:X6)</f>
        <v>4890</v>
      </c>
      <c r="Y8" s="3">
        <f t="shared" si="3"/>
        <v>4890</v>
      </c>
      <c r="Z8" s="3">
        <f t="shared" si="3"/>
        <v>4890</v>
      </c>
      <c r="AA8" s="3">
        <f t="shared" si="3"/>
        <v>4890</v>
      </c>
      <c r="AB8" s="3">
        <f t="shared" si="3"/>
        <v>3190</v>
      </c>
      <c r="AC8" s="3">
        <f>SUM(AC4:AC6)</f>
        <v>3190</v>
      </c>
      <c r="AD8" s="19">
        <f t="shared" ref="AD8:AD9" si="4">SUM(R8:AC8)</f>
        <v>50710</v>
      </c>
    </row>
    <row r="9" spans="2:30" x14ac:dyDescent="0.25">
      <c r="B9" s="4" t="s">
        <v>7</v>
      </c>
      <c r="C9" s="5">
        <f t="shared" ref="C9:M9" si="5">2095*2</f>
        <v>4190</v>
      </c>
      <c r="D9" s="5">
        <f t="shared" si="5"/>
        <v>4190</v>
      </c>
      <c r="E9" s="5">
        <f t="shared" si="5"/>
        <v>4190</v>
      </c>
      <c r="F9" s="5">
        <f t="shared" si="5"/>
        <v>4190</v>
      </c>
      <c r="G9" s="5">
        <f t="shared" si="5"/>
        <v>4190</v>
      </c>
      <c r="H9" s="5">
        <f t="shared" si="5"/>
        <v>4190</v>
      </c>
      <c r="I9" s="5">
        <f t="shared" si="5"/>
        <v>4190</v>
      </c>
      <c r="J9" s="5">
        <f t="shared" si="5"/>
        <v>4190</v>
      </c>
      <c r="K9" s="5">
        <f t="shared" si="5"/>
        <v>4190</v>
      </c>
      <c r="L9" s="5">
        <f t="shared" si="5"/>
        <v>4190</v>
      </c>
      <c r="M9" s="5">
        <f t="shared" si="5"/>
        <v>4190</v>
      </c>
      <c r="N9" s="5">
        <f>2095*2</f>
        <v>4190</v>
      </c>
      <c r="O9" s="42">
        <f t="shared" si="0"/>
        <v>50280</v>
      </c>
      <c r="P9" s="50"/>
      <c r="Q9" s="45" t="s">
        <v>7</v>
      </c>
      <c r="R9" s="5">
        <f t="shared" ref="R9:AA9" si="6">2095*2</f>
        <v>4190</v>
      </c>
      <c r="S9" s="5">
        <f t="shared" si="6"/>
        <v>4190</v>
      </c>
      <c r="T9" s="5">
        <f t="shared" si="6"/>
        <v>4190</v>
      </c>
      <c r="U9" s="5">
        <f t="shared" si="6"/>
        <v>4190</v>
      </c>
      <c r="V9" s="5">
        <f t="shared" si="6"/>
        <v>4190</v>
      </c>
      <c r="W9" s="5">
        <f t="shared" si="6"/>
        <v>4190</v>
      </c>
      <c r="X9" s="5">
        <f>2095*2</f>
        <v>4190</v>
      </c>
      <c r="Y9" s="5">
        <f t="shared" si="6"/>
        <v>4190</v>
      </c>
      <c r="Z9" s="5">
        <f t="shared" si="6"/>
        <v>4190</v>
      </c>
      <c r="AA9" s="5">
        <f t="shared" si="6"/>
        <v>4190</v>
      </c>
      <c r="AB9" s="5">
        <f>(1597.75*2)+AB16</f>
        <v>3708.6858333333334</v>
      </c>
      <c r="AC9" s="5">
        <f>(1597.75*2)+AC16</f>
        <v>3708.6858333333334</v>
      </c>
      <c r="AD9" s="18">
        <f t="shared" si="4"/>
        <v>49317.371666666673</v>
      </c>
    </row>
    <row r="10" spans="2:30" ht="9.75" customHeight="1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50"/>
    </row>
    <row r="11" spans="2:30" x14ac:dyDescent="0.25">
      <c r="B11" s="8" t="s">
        <v>4</v>
      </c>
      <c r="C11" s="9">
        <f>(2700/12)-20</f>
        <v>205</v>
      </c>
      <c r="D11" s="9">
        <f t="shared" ref="D11:L11" si="7">(2700/12)-20</f>
        <v>205</v>
      </c>
      <c r="E11" s="9">
        <f t="shared" si="7"/>
        <v>205</v>
      </c>
      <c r="F11" s="9">
        <f t="shared" si="7"/>
        <v>205</v>
      </c>
      <c r="G11" s="9">
        <f t="shared" si="7"/>
        <v>205</v>
      </c>
      <c r="H11" s="9">
        <f t="shared" si="7"/>
        <v>205</v>
      </c>
      <c r="I11" s="9">
        <f t="shared" si="7"/>
        <v>205</v>
      </c>
      <c r="J11" s="9">
        <f t="shared" si="7"/>
        <v>205</v>
      </c>
      <c r="K11" s="9">
        <f t="shared" si="7"/>
        <v>205</v>
      </c>
      <c r="L11" s="9">
        <f t="shared" si="7"/>
        <v>205</v>
      </c>
      <c r="M11" s="9">
        <f>237-20</f>
        <v>217</v>
      </c>
      <c r="N11" s="9">
        <f>237-20</f>
        <v>217</v>
      </c>
      <c r="O11" s="44">
        <f t="shared" ref="O11" si="8">SUM(C11:N11)</f>
        <v>2484</v>
      </c>
      <c r="P11" s="50"/>
      <c r="Q11" s="47" t="s">
        <v>4</v>
      </c>
      <c r="R11" s="9">
        <f t="shared" ref="R11:AA11" si="9">237-20</f>
        <v>217</v>
      </c>
      <c r="S11" s="9">
        <f t="shared" si="9"/>
        <v>217</v>
      </c>
      <c r="T11" s="9">
        <f t="shared" si="9"/>
        <v>217</v>
      </c>
      <c r="U11" s="9">
        <f t="shared" si="9"/>
        <v>217</v>
      </c>
      <c r="V11" s="9">
        <f t="shared" si="9"/>
        <v>217</v>
      </c>
      <c r="W11" s="9">
        <f t="shared" si="9"/>
        <v>217</v>
      </c>
      <c r="X11" s="9">
        <f t="shared" si="9"/>
        <v>217</v>
      </c>
      <c r="Y11" s="9">
        <f t="shared" si="9"/>
        <v>217</v>
      </c>
      <c r="Z11" s="9">
        <f t="shared" si="9"/>
        <v>217</v>
      </c>
      <c r="AA11" s="9">
        <f t="shared" si="9"/>
        <v>217</v>
      </c>
      <c r="AB11" s="9">
        <f>237-20</f>
        <v>217</v>
      </c>
      <c r="AC11" s="9">
        <f>237-20</f>
        <v>217</v>
      </c>
      <c r="AD11" s="20">
        <f t="shared" ref="AD11" si="10">SUM(R11:AC11)</f>
        <v>2604</v>
      </c>
    </row>
    <row r="12" spans="2:30" x14ac:dyDescent="0.25">
      <c r="P12" s="51"/>
    </row>
    <row r="13" spans="2:30" ht="18.75" x14ac:dyDescent="0.3">
      <c r="B13" s="12" t="s">
        <v>3</v>
      </c>
      <c r="C13" s="10">
        <f t="shared" ref="C13:O13" si="11">C8-C9-C11</f>
        <v>-2045</v>
      </c>
      <c r="D13" s="10">
        <f t="shared" si="11"/>
        <v>-2045</v>
      </c>
      <c r="E13" s="10">
        <f t="shared" si="11"/>
        <v>-445</v>
      </c>
      <c r="F13" s="10">
        <f t="shared" si="11"/>
        <v>-445</v>
      </c>
      <c r="G13" s="10">
        <f t="shared" si="11"/>
        <v>-445</v>
      </c>
      <c r="H13" s="10">
        <f t="shared" si="11"/>
        <v>-445</v>
      </c>
      <c r="I13" s="10">
        <f t="shared" si="11"/>
        <v>-400</v>
      </c>
      <c r="J13" s="10">
        <f t="shared" si="11"/>
        <v>-400</v>
      </c>
      <c r="K13" s="10">
        <f t="shared" si="11"/>
        <v>-400</v>
      </c>
      <c r="L13" s="10">
        <f t="shared" si="11"/>
        <v>-400</v>
      </c>
      <c r="M13" s="10">
        <f t="shared" si="11"/>
        <v>-412</v>
      </c>
      <c r="N13" s="10">
        <f t="shared" si="11"/>
        <v>-412</v>
      </c>
      <c r="O13" s="10">
        <f t="shared" si="11"/>
        <v>-8294</v>
      </c>
      <c r="P13" s="52"/>
      <c r="Q13" s="48" t="s">
        <v>3</v>
      </c>
      <c r="R13" s="10">
        <f t="shared" ref="R13:AD13" si="12">R8-R9-R11</f>
        <v>-412</v>
      </c>
      <c r="S13" s="10">
        <f t="shared" si="12"/>
        <v>-412</v>
      </c>
      <c r="T13" s="10">
        <f t="shared" si="12"/>
        <v>-412</v>
      </c>
      <c r="U13" s="10">
        <f t="shared" si="12"/>
        <v>-412</v>
      </c>
      <c r="V13" s="10">
        <f t="shared" si="12"/>
        <v>-12</v>
      </c>
      <c r="W13" s="10">
        <f>W8-W9-W11</f>
        <v>-12</v>
      </c>
      <c r="X13" s="10">
        <f>X8-X9-X11</f>
        <v>483</v>
      </c>
      <c r="Y13" s="10">
        <f t="shared" si="12"/>
        <v>483</v>
      </c>
      <c r="Z13" s="10">
        <f t="shared" si="12"/>
        <v>483</v>
      </c>
      <c r="AA13" s="10">
        <f t="shared" si="12"/>
        <v>483</v>
      </c>
      <c r="AB13" s="10">
        <f t="shared" si="12"/>
        <v>-735.68583333333345</v>
      </c>
      <c r="AC13" s="10">
        <f t="shared" si="12"/>
        <v>-735.68583333333345</v>
      </c>
      <c r="AD13" s="11">
        <f t="shared" si="12"/>
        <v>-1211.3716666666733</v>
      </c>
    </row>
    <row r="14" spans="2:30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50"/>
    </row>
    <row r="15" spans="2:30" x14ac:dyDescent="0.25">
      <c r="B15" s="2" t="s">
        <v>5</v>
      </c>
      <c r="C15" s="3">
        <f t="shared" ref="C15:M15" si="13">$O$15/12</f>
        <v>3130.7891666666669</v>
      </c>
      <c r="D15" s="3">
        <f t="shared" si="13"/>
        <v>3130.7891666666669</v>
      </c>
      <c r="E15" s="3">
        <f t="shared" si="13"/>
        <v>3130.7891666666669</v>
      </c>
      <c r="F15" s="3">
        <f t="shared" si="13"/>
        <v>3130.7891666666669</v>
      </c>
      <c r="G15" s="3">
        <f t="shared" si="13"/>
        <v>3130.7891666666669</v>
      </c>
      <c r="H15" s="3">
        <f t="shared" si="13"/>
        <v>3130.7891666666669</v>
      </c>
      <c r="I15" s="3">
        <f t="shared" si="13"/>
        <v>3130.7891666666669</v>
      </c>
      <c r="J15" s="3">
        <f t="shared" si="13"/>
        <v>3130.7891666666669</v>
      </c>
      <c r="K15" s="3">
        <f t="shared" si="13"/>
        <v>3130.7891666666669</v>
      </c>
      <c r="L15" s="3">
        <f t="shared" si="13"/>
        <v>3130.7891666666669</v>
      </c>
      <c r="M15" s="3">
        <f t="shared" si="13"/>
        <v>3130.7891666666669</v>
      </c>
      <c r="N15" s="3">
        <f>$O$15/12</f>
        <v>3130.7891666666669</v>
      </c>
      <c r="O15" s="43">
        <v>37569.47</v>
      </c>
      <c r="P15" s="50"/>
      <c r="Q15" s="2" t="s">
        <v>5</v>
      </c>
      <c r="R15" s="3">
        <f>$AD$15/12</f>
        <v>3130.7891666666669</v>
      </c>
      <c r="S15" s="3">
        <f t="shared" ref="S15:AC15" si="14">$AD$15/12</f>
        <v>3130.7891666666669</v>
      </c>
      <c r="T15" s="3">
        <f t="shared" si="14"/>
        <v>3130.7891666666669</v>
      </c>
      <c r="U15" s="3">
        <f t="shared" si="14"/>
        <v>3130.7891666666669</v>
      </c>
      <c r="V15" s="3">
        <f t="shared" si="14"/>
        <v>3130.7891666666669</v>
      </c>
      <c r="W15" s="3">
        <f t="shared" si="14"/>
        <v>3130.7891666666669</v>
      </c>
      <c r="X15" s="3">
        <f t="shared" si="14"/>
        <v>3130.7891666666669</v>
      </c>
      <c r="Y15" s="3">
        <f t="shared" si="14"/>
        <v>3130.7891666666669</v>
      </c>
      <c r="Z15" s="3">
        <f t="shared" si="14"/>
        <v>3130.7891666666669</v>
      </c>
      <c r="AA15" s="3">
        <f t="shared" si="14"/>
        <v>3130.7891666666669</v>
      </c>
      <c r="AB15" s="3">
        <f t="shared" si="14"/>
        <v>3130.7891666666669</v>
      </c>
      <c r="AC15" s="3">
        <f t="shared" si="14"/>
        <v>3130.7891666666669</v>
      </c>
      <c r="AD15" s="43">
        <v>37569.47</v>
      </c>
    </row>
    <row r="16" spans="2:30" x14ac:dyDescent="0.25">
      <c r="B16" s="4" t="s">
        <v>8</v>
      </c>
      <c r="C16" s="13">
        <f t="shared" ref="C16:N16" si="15">$O$16/12</f>
        <v>403.95</v>
      </c>
      <c r="D16" s="13">
        <f t="shared" si="15"/>
        <v>403.95</v>
      </c>
      <c r="E16" s="13">
        <f t="shared" si="15"/>
        <v>403.95</v>
      </c>
      <c r="F16" s="13">
        <f t="shared" si="15"/>
        <v>403.95</v>
      </c>
      <c r="G16" s="13">
        <f t="shared" si="15"/>
        <v>403.95</v>
      </c>
      <c r="H16" s="13">
        <f t="shared" si="15"/>
        <v>403.95</v>
      </c>
      <c r="I16" s="13">
        <f t="shared" si="15"/>
        <v>403.95</v>
      </c>
      <c r="J16" s="13">
        <f t="shared" si="15"/>
        <v>403.95</v>
      </c>
      <c r="K16" s="13">
        <f t="shared" si="15"/>
        <v>403.95</v>
      </c>
      <c r="L16" s="13">
        <f t="shared" si="15"/>
        <v>403.95</v>
      </c>
      <c r="M16" s="13">
        <f t="shared" si="15"/>
        <v>403.95</v>
      </c>
      <c r="N16" s="13">
        <f t="shared" si="15"/>
        <v>403.95</v>
      </c>
      <c r="O16" s="42">
        <v>4847.3999999999996</v>
      </c>
      <c r="P16" s="50"/>
      <c r="Q16" s="4" t="s">
        <v>8</v>
      </c>
      <c r="R16" s="13">
        <f>$AD$16/12</f>
        <v>403.95</v>
      </c>
      <c r="S16" s="13">
        <f t="shared" ref="S16:AA16" si="16">$AD$16/12</f>
        <v>403.95</v>
      </c>
      <c r="T16" s="13">
        <f t="shared" si="16"/>
        <v>403.95</v>
      </c>
      <c r="U16" s="13">
        <f t="shared" si="16"/>
        <v>403.95</v>
      </c>
      <c r="V16" s="13">
        <f t="shared" si="16"/>
        <v>403.95</v>
      </c>
      <c r="W16" s="13">
        <f t="shared" si="16"/>
        <v>403.95</v>
      </c>
      <c r="X16" s="13">
        <f t="shared" si="16"/>
        <v>403.95</v>
      </c>
      <c r="Y16" s="13">
        <f t="shared" si="16"/>
        <v>403.95</v>
      </c>
      <c r="Z16" s="13">
        <f t="shared" si="16"/>
        <v>403.95</v>
      </c>
      <c r="AA16" s="13">
        <f t="shared" si="16"/>
        <v>403.95</v>
      </c>
      <c r="AB16" s="13">
        <f>(5640.58+517.65)/12</f>
        <v>513.18583333333333</v>
      </c>
      <c r="AC16" s="13">
        <f>(5640.58+517.65)/12</f>
        <v>513.18583333333333</v>
      </c>
      <c r="AD16" s="42">
        <v>4847.3999999999996</v>
      </c>
    </row>
    <row r="17" spans="2:30" ht="15.75" thickBot="1" x14ac:dyDescent="0.3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6"/>
      <c r="P17" s="50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6"/>
    </row>
    <row r="18" spans="2:30" ht="15.75" thickBot="1" x14ac:dyDescent="0.3">
      <c r="B18" s="65" t="s">
        <v>10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49"/>
      <c r="Q18" s="65" t="s">
        <v>10</v>
      </c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</row>
    <row r="19" spans="2:30" x14ac:dyDescent="0.25">
      <c r="B19" s="4" t="s">
        <v>9</v>
      </c>
      <c r="C19" s="5">
        <v>0</v>
      </c>
      <c r="D19" s="5">
        <v>1410.39</v>
      </c>
      <c r="E19" s="5"/>
      <c r="F19" s="5">
        <v>715.58</v>
      </c>
      <c r="G19" s="5"/>
      <c r="H19" s="5">
        <v>336.33</v>
      </c>
      <c r="I19" s="5"/>
      <c r="J19" s="5">
        <v>224.16</v>
      </c>
      <c r="K19" s="5"/>
      <c r="L19" s="5">
        <v>207.09</v>
      </c>
      <c r="M19" s="5"/>
      <c r="N19" s="5">
        <v>479.77</v>
      </c>
      <c r="O19" s="42">
        <f t="shared" ref="O19:O20" si="17">SUM(C19:N19)</f>
        <v>3373.32</v>
      </c>
      <c r="P19" s="50"/>
      <c r="Q19" s="4" t="s">
        <v>9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42">
        <f>SUM(R19:AC19)</f>
        <v>0</v>
      </c>
    </row>
    <row r="20" spans="2:30" x14ac:dyDescent="0.25">
      <c r="B20" s="4" t="s">
        <v>11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f>'2024 Factures'!D6</f>
        <v>2247.7600000000002</v>
      </c>
      <c r="O20" s="42">
        <f t="shared" si="17"/>
        <v>2247.7600000000002</v>
      </c>
      <c r="P20" s="50"/>
      <c r="Q20" s="4" t="s">
        <v>11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f>'2025 Factures'!S6</f>
        <v>0</v>
      </c>
      <c r="AD20" s="42">
        <f t="shared" ref="AD20" si="18">SUM(R20:AC20)</f>
        <v>0</v>
      </c>
    </row>
    <row r="22" spans="2:30" ht="15.75" thickBot="1" x14ac:dyDescent="0.3"/>
    <row r="23" spans="2:30" ht="15.75" thickBot="1" x14ac:dyDescent="0.3">
      <c r="B23" s="66">
        <v>2026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</row>
    <row r="24" spans="2:30" x14ac:dyDescent="0.25">
      <c r="C24" s="15">
        <v>46023</v>
      </c>
      <c r="D24" s="15">
        <v>46054</v>
      </c>
      <c r="E24" s="15">
        <v>46082</v>
      </c>
      <c r="F24" s="15">
        <v>46113</v>
      </c>
      <c r="G24" s="15">
        <v>46143</v>
      </c>
      <c r="H24" s="15">
        <v>46174</v>
      </c>
      <c r="I24" s="15">
        <v>46204</v>
      </c>
      <c r="J24" s="15">
        <v>46235</v>
      </c>
      <c r="K24" s="15">
        <v>46266</v>
      </c>
      <c r="L24" s="15">
        <v>46296</v>
      </c>
      <c r="M24" s="15">
        <v>46327</v>
      </c>
      <c r="N24" s="15">
        <v>46357</v>
      </c>
      <c r="O24" s="16" t="s">
        <v>76</v>
      </c>
    </row>
    <row r="25" spans="2:30" x14ac:dyDescent="0.25">
      <c r="B25" t="s">
        <v>0</v>
      </c>
      <c r="C25" s="6">
        <v>1190</v>
      </c>
      <c r="D25" s="6">
        <v>1190</v>
      </c>
      <c r="E25" s="6">
        <v>1190</v>
      </c>
      <c r="F25" s="6">
        <v>1190</v>
      </c>
      <c r="G25" s="6">
        <v>1190</v>
      </c>
      <c r="H25" s="6">
        <v>1190</v>
      </c>
      <c r="I25" s="6">
        <v>1230</v>
      </c>
      <c r="J25" s="6">
        <v>1230</v>
      </c>
      <c r="K25" s="6">
        <v>1230</v>
      </c>
      <c r="L25" s="6">
        <v>1230</v>
      </c>
      <c r="M25" s="6">
        <v>1230</v>
      </c>
      <c r="N25" s="6">
        <v>1230</v>
      </c>
      <c r="O25" s="17">
        <f>SUM(C25:N25)</f>
        <v>14520</v>
      </c>
    </row>
    <row r="26" spans="2:30" x14ac:dyDescent="0.25">
      <c r="B26" t="s">
        <v>1</v>
      </c>
      <c r="C26" s="6">
        <v>1700</v>
      </c>
      <c r="D26" s="6">
        <v>1700</v>
      </c>
      <c r="E26" s="6">
        <v>1700</v>
      </c>
      <c r="F26" s="6">
        <v>1700</v>
      </c>
      <c r="G26" s="6">
        <v>1700</v>
      </c>
      <c r="H26" s="6">
        <v>1700</v>
      </c>
      <c r="I26" s="6">
        <v>1700</v>
      </c>
      <c r="J26" s="6">
        <v>1700</v>
      </c>
      <c r="K26" s="6">
        <v>1700</v>
      </c>
      <c r="L26" s="6">
        <v>1700</v>
      </c>
      <c r="M26" s="6">
        <v>1700</v>
      </c>
      <c r="N26" s="6">
        <v>1700</v>
      </c>
      <c r="O26" s="17">
        <f t="shared" ref="O26:O27" si="19">SUM(C26:N26)</f>
        <v>20400</v>
      </c>
    </row>
    <row r="27" spans="2:30" x14ac:dyDescent="0.25">
      <c r="B27" s="45" t="s">
        <v>2</v>
      </c>
      <c r="C27" s="5">
        <v>2000</v>
      </c>
      <c r="D27" s="5">
        <v>2000</v>
      </c>
      <c r="E27" s="5">
        <v>2000</v>
      </c>
      <c r="F27" s="5">
        <v>2000</v>
      </c>
      <c r="G27" s="5">
        <v>2000</v>
      </c>
      <c r="H27" s="5">
        <v>2000</v>
      </c>
      <c r="I27" s="5">
        <v>2000</v>
      </c>
      <c r="J27" s="5">
        <v>2000</v>
      </c>
      <c r="K27" s="5">
        <v>2000</v>
      </c>
      <c r="L27" s="5">
        <v>2000</v>
      </c>
      <c r="M27" s="5">
        <v>2000</v>
      </c>
      <c r="N27" s="5">
        <v>2000</v>
      </c>
      <c r="O27" s="18">
        <f t="shared" si="19"/>
        <v>24000</v>
      </c>
    </row>
    <row r="28" spans="2:30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30" x14ac:dyDescent="0.25">
      <c r="B29" s="46" t="s">
        <v>6</v>
      </c>
      <c r="C29" s="3">
        <f t="shared" ref="C29:H29" si="20">SUM(C25:C27)</f>
        <v>4890</v>
      </c>
      <c r="D29" s="3">
        <f t="shared" si="20"/>
        <v>4890</v>
      </c>
      <c r="E29" s="3">
        <f t="shared" si="20"/>
        <v>4890</v>
      </c>
      <c r="F29" s="3">
        <f t="shared" si="20"/>
        <v>4890</v>
      </c>
      <c r="G29" s="3">
        <f t="shared" si="20"/>
        <v>4890</v>
      </c>
      <c r="H29" s="3">
        <f t="shared" si="20"/>
        <v>4890</v>
      </c>
      <c r="I29" s="3">
        <f>SUM(I25:I27)</f>
        <v>4930</v>
      </c>
      <c r="J29" s="3">
        <f t="shared" ref="J29:M29" si="21">SUM(J25:J27)</f>
        <v>4930</v>
      </c>
      <c r="K29" s="3">
        <f t="shared" si="21"/>
        <v>4930</v>
      </c>
      <c r="L29" s="3">
        <f t="shared" si="21"/>
        <v>4930</v>
      </c>
      <c r="M29" s="3">
        <f t="shared" si="21"/>
        <v>4930</v>
      </c>
      <c r="N29" s="3">
        <f>SUM(N25:N27)</f>
        <v>4930</v>
      </c>
      <c r="O29" s="19">
        <f t="shared" ref="O29:O30" si="22">SUM(C29:N29)</f>
        <v>58920</v>
      </c>
    </row>
    <row r="30" spans="2:30" x14ac:dyDescent="0.25">
      <c r="B30" s="45" t="s">
        <v>7</v>
      </c>
      <c r="C30" s="5">
        <f t="shared" ref="C30:L30" si="23">(1597.75*2)+C37</f>
        <v>3708.6858333333334</v>
      </c>
      <c r="D30" s="5">
        <f t="shared" si="23"/>
        <v>3708.6858333333334</v>
      </c>
      <c r="E30" s="5">
        <f t="shared" si="23"/>
        <v>3708.6858333333334</v>
      </c>
      <c r="F30" s="5">
        <f t="shared" si="23"/>
        <v>3708.6858333333334</v>
      </c>
      <c r="G30" s="5">
        <f t="shared" si="23"/>
        <v>3708.6858333333334</v>
      </c>
      <c r="H30" s="5">
        <f t="shared" si="23"/>
        <v>3708.6858333333334</v>
      </c>
      <c r="I30" s="5">
        <f t="shared" si="23"/>
        <v>3708.6858333333334</v>
      </c>
      <c r="J30" s="5">
        <f t="shared" si="23"/>
        <v>3708.6858333333334</v>
      </c>
      <c r="K30" s="5">
        <f t="shared" si="23"/>
        <v>3708.6858333333334</v>
      </c>
      <c r="L30" s="5">
        <f t="shared" si="23"/>
        <v>3708.6858333333334</v>
      </c>
      <c r="M30" s="5">
        <f>(1597.75*2)+M37</f>
        <v>3708.6858333333334</v>
      </c>
      <c r="N30" s="5">
        <f>(1597.75*2)+N37</f>
        <v>3708.6858333333334</v>
      </c>
      <c r="O30" s="18">
        <f t="shared" si="22"/>
        <v>44504.23000000001</v>
      </c>
    </row>
    <row r="32" spans="2:30" x14ac:dyDescent="0.25">
      <c r="B32" s="47" t="s">
        <v>4</v>
      </c>
      <c r="C32" s="9">
        <f>254-20</f>
        <v>234</v>
      </c>
      <c r="D32" s="9">
        <f t="shared" ref="D32:N32" si="24">254-20</f>
        <v>234</v>
      </c>
      <c r="E32" s="9">
        <f t="shared" si="24"/>
        <v>234</v>
      </c>
      <c r="F32" s="9">
        <f t="shared" si="24"/>
        <v>234</v>
      </c>
      <c r="G32" s="9">
        <f t="shared" si="24"/>
        <v>234</v>
      </c>
      <c r="H32" s="9">
        <f t="shared" si="24"/>
        <v>234</v>
      </c>
      <c r="I32" s="9">
        <f t="shared" si="24"/>
        <v>234</v>
      </c>
      <c r="J32" s="9">
        <f t="shared" si="24"/>
        <v>234</v>
      </c>
      <c r="K32" s="9">
        <f t="shared" si="24"/>
        <v>234</v>
      </c>
      <c r="L32" s="9">
        <f t="shared" si="24"/>
        <v>234</v>
      </c>
      <c r="M32" s="9">
        <f t="shared" si="24"/>
        <v>234</v>
      </c>
      <c r="N32" s="9">
        <f t="shared" si="24"/>
        <v>234</v>
      </c>
      <c r="O32" s="20">
        <f t="shared" ref="O32" si="25">SUM(C32:N32)</f>
        <v>2808</v>
      </c>
    </row>
    <row r="34" spans="2:15" ht="18.75" x14ac:dyDescent="0.3">
      <c r="B34" s="48" t="s">
        <v>3</v>
      </c>
      <c r="C34" s="10">
        <f t="shared" ref="C34:G34" si="26">C29-C30-C32</f>
        <v>947.31416666666655</v>
      </c>
      <c r="D34" s="10">
        <f t="shared" si="26"/>
        <v>947.31416666666655</v>
      </c>
      <c r="E34" s="10">
        <f t="shared" si="26"/>
        <v>947.31416666666655</v>
      </c>
      <c r="F34" s="10">
        <f t="shared" si="26"/>
        <v>947.31416666666655</v>
      </c>
      <c r="G34" s="10">
        <f t="shared" si="26"/>
        <v>947.31416666666655</v>
      </c>
      <c r="H34" s="10">
        <f>H29-H30-H32</f>
        <v>947.31416666666655</v>
      </c>
      <c r="I34" s="10">
        <f>I29-I30-I32</f>
        <v>987.31416666666655</v>
      </c>
      <c r="J34" s="10">
        <f t="shared" ref="J34:O34" si="27">J29-J30-J32</f>
        <v>987.31416666666655</v>
      </c>
      <c r="K34" s="10">
        <f t="shared" si="27"/>
        <v>987.31416666666655</v>
      </c>
      <c r="L34" s="10">
        <f t="shared" si="27"/>
        <v>987.31416666666655</v>
      </c>
      <c r="M34" s="10">
        <f t="shared" si="27"/>
        <v>987.31416666666655</v>
      </c>
      <c r="N34" s="10">
        <f t="shared" si="27"/>
        <v>987.31416666666655</v>
      </c>
      <c r="O34" s="11">
        <f t="shared" si="27"/>
        <v>11607.76999999999</v>
      </c>
    </row>
    <row r="36" spans="2:15" x14ac:dyDescent="0.25">
      <c r="B36" s="2" t="s">
        <v>5</v>
      </c>
      <c r="C36" s="3">
        <f>$O$36/12</f>
        <v>3130.7891666666669</v>
      </c>
      <c r="D36" s="3">
        <f t="shared" ref="D36:N36" si="28">$O$36/12</f>
        <v>3130.7891666666669</v>
      </c>
      <c r="E36" s="3">
        <f t="shared" si="28"/>
        <v>3130.7891666666669</v>
      </c>
      <c r="F36" s="3">
        <f t="shared" si="28"/>
        <v>3130.7891666666669</v>
      </c>
      <c r="G36" s="3">
        <f t="shared" si="28"/>
        <v>3130.7891666666669</v>
      </c>
      <c r="H36" s="3">
        <f t="shared" si="28"/>
        <v>3130.7891666666669</v>
      </c>
      <c r="I36" s="3">
        <f t="shared" si="28"/>
        <v>3130.7891666666669</v>
      </c>
      <c r="J36" s="3">
        <f t="shared" si="28"/>
        <v>3130.7891666666669</v>
      </c>
      <c r="K36" s="3">
        <f t="shared" si="28"/>
        <v>3130.7891666666669</v>
      </c>
      <c r="L36" s="3">
        <f t="shared" si="28"/>
        <v>3130.7891666666669</v>
      </c>
      <c r="M36" s="3">
        <f t="shared" si="28"/>
        <v>3130.7891666666669</v>
      </c>
      <c r="N36" s="3">
        <f t="shared" si="28"/>
        <v>3130.7891666666669</v>
      </c>
      <c r="O36" s="55">
        <v>37569.47</v>
      </c>
    </row>
    <row r="37" spans="2:15" x14ac:dyDescent="0.25">
      <c r="B37" s="4" t="s">
        <v>8</v>
      </c>
      <c r="C37" s="13">
        <f>$O$37/12</f>
        <v>513.18583333333333</v>
      </c>
      <c r="D37" s="13">
        <f t="shared" ref="D37:N37" si="29">$O$37/12</f>
        <v>513.18583333333333</v>
      </c>
      <c r="E37" s="13">
        <f t="shared" si="29"/>
        <v>513.18583333333333</v>
      </c>
      <c r="F37" s="13">
        <f t="shared" si="29"/>
        <v>513.18583333333333</v>
      </c>
      <c r="G37" s="13">
        <f t="shared" si="29"/>
        <v>513.18583333333333</v>
      </c>
      <c r="H37" s="13">
        <f t="shared" si="29"/>
        <v>513.18583333333333</v>
      </c>
      <c r="I37" s="13">
        <f t="shared" si="29"/>
        <v>513.18583333333333</v>
      </c>
      <c r="J37" s="13">
        <f t="shared" si="29"/>
        <v>513.18583333333333</v>
      </c>
      <c r="K37" s="13">
        <f t="shared" si="29"/>
        <v>513.18583333333333</v>
      </c>
      <c r="L37" s="13">
        <f t="shared" si="29"/>
        <v>513.18583333333333</v>
      </c>
      <c r="M37" s="13">
        <f t="shared" si="29"/>
        <v>513.18583333333333</v>
      </c>
      <c r="N37" s="13">
        <f t="shared" si="29"/>
        <v>513.18583333333333</v>
      </c>
      <c r="O37" s="42">
        <f>(5640.58+517.65)</f>
        <v>6158.23</v>
      </c>
    </row>
    <row r="38" spans="2:15" ht="15.75" thickBot="1" x14ac:dyDescent="0.3"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6"/>
    </row>
    <row r="39" spans="2:15" ht="15.75" thickBot="1" x14ac:dyDescent="0.3">
      <c r="B39" s="65" t="s">
        <v>10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</row>
    <row r="40" spans="2:15" x14ac:dyDescent="0.25">
      <c r="B40" s="4" t="s">
        <v>9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42">
        <f>SUM(C40:N40)</f>
        <v>0</v>
      </c>
    </row>
    <row r="41" spans="2:15" x14ac:dyDescent="0.25">
      <c r="B41" s="4" t="s">
        <v>11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f>'2025 Factures'!D37</f>
        <v>0</v>
      </c>
      <c r="O41" s="42">
        <f t="shared" ref="O41" si="30">SUM(C41:N41)</f>
        <v>0</v>
      </c>
    </row>
  </sheetData>
  <mergeCells count="6">
    <mergeCell ref="B39:O39"/>
    <mergeCell ref="B18:O18"/>
    <mergeCell ref="B2:O2"/>
    <mergeCell ref="Q2:AD2"/>
    <mergeCell ref="Q18:AD18"/>
    <mergeCell ref="B23:O23"/>
  </mergeCells>
  <conditionalFormatting sqref="C34:O34">
    <cfRule type="cellIs" dxfId="8" priority="1" operator="lessThan">
      <formula>0</formula>
    </cfRule>
  </conditionalFormatting>
  <conditionalFormatting sqref="C13:P13">
    <cfRule type="cellIs" dxfId="7" priority="3" operator="lessThan">
      <formula>0</formula>
    </cfRule>
  </conditionalFormatting>
  <conditionalFormatting sqref="R13:AD13">
    <cfRule type="cellIs" dxfId="6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A063-A069-479E-84EF-BEEFE027CC0E}">
  <sheetPr>
    <tabColor theme="8"/>
  </sheetPr>
  <dimension ref="A3:F26"/>
  <sheetViews>
    <sheetView tabSelected="1" workbookViewId="0">
      <selection activeCell="N16" sqref="N16"/>
    </sheetView>
  </sheetViews>
  <sheetFormatPr defaultColWidth="8.85546875" defaultRowHeight="15" x14ac:dyDescent="0.25"/>
  <cols>
    <col min="1" max="2" width="21.85546875" customWidth="1"/>
    <col min="3" max="3" width="30.28515625" customWidth="1"/>
    <col min="4" max="4" width="26.140625" customWidth="1"/>
    <col min="5" max="5" width="27.28515625" customWidth="1"/>
  </cols>
  <sheetData>
    <row r="3" spans="1:6" ht="15.75" x14ac:dyDescent="0.25">
      <c r="A3" s="27" t="s">
        <v>14</v>
      </c>
      <c r="B3" s="27" t="s">
        <v>81</v>
      </c>
      <c r="C3" s="27" t="s">
        <v>12</v>
      </c>
      <c r="D3" s="27" t="s">
        <v>13</v>
      </c>
      <c r="E3" s="27" t="s">
        <v>18</v>
      </c>
      <c r="F3" s="27" t="s">
        <v>103</v>
      </c>
    </row>
    <row r="4" spans="1:6" x14ac:dyDescent="0.25">
      <c r="A4" s="39">
        <v>45709</v>
      </c>
      <c r="B4" s="39" t="s">
        <v>82</v>
      </c>
      <c r="C4" s="59" t="s">
        <v>53</v>
      </c>
      <c r="D4" s="54">
        <v>45.63</v>
      </c>
      <c r="E4" s="63"/>
    </row>
    <row r="5" spans="1:6" x14ac:dyDescent="0.25">
      <c r="A5" s="39">
        <v>45773</v>
      </c>
      <c r="B5" s="28" t="s">
        <v>83</v>
      </c>
      <c r="C5" s="59" t="s">
        <v>68</v>
      </c>
      <c r="D5" s="54">
        <v>0</v>
      </c>
      <c r="E5" s="61">
        <v>1954.58</v>
      </c>
      <c r="F5" t="e" vm="1">
        <v>#VALUE!</v>
      </c>
    </row>
    <row r="6" spans="1:6" x14ac:dyDescent="0.25">
      <c r="A6" s="39">
        <v>45775</v>
      </c>
      <c r="B6" s="39" t="s">
        <v>84</v>
      </c>
      <c r="C6" s="60" t="s">
        <v>69</v>
      </c>
      <c r="D6" s="58">
        <v>0</v>
      </c>
      <c r="E6" s="61">
        <v>3500</v>
      </c>
      <c r="F6" t="e" vm="2">
        <v>#VALUE!</v>
      </c>
    </row>
    <row r="7" spans="1:6" x14ac:dyDescent="0.25">
      <c r="A7" s="57"/>
      <c r="B7" s="39" t="s">
        <v>82</v>
      </c>
      <c r="C7" s="60" t="s">
        <v>30</v>
      </c>
      <c r="D7" s="56">
        <v>500</v>
      </c>
      <c r="E7" s="64"/>
    </row>
    <row r="8" spans="1:6" ht="30.95" customHeight="1" x14ac:dyDescent="0.25">
      <c r="A8" s="39">
        <v>45904</v>
      </c>
      <c r="B8" s="39" t="s">
        <v>85</v>
      </c>
      <c r="C8" s="60" t="s">
        <v>73</v>
      </c>
      <c r="D8" s="54">
        <v>258.83</v>
      </c>
      <c r="E8" s="64"/>
      <c r="F8" s="64" t="e" vm="3">
        <v>#VALUE!</v>
      </c>
    </row>
    <row r="9" spans="1:6" ht="30.95" customHeight="1" x14ac:dyDescent="0.25">
      <c r="A9" s="39">
        <v>45967</v>
      </c>
      <c r="B9" s="39" t="s">
        <v>85</v>
      </c>
      <c r="C9" s="61" t="s">
        <v>74</v>
      </c>
      <c r="D9" s="54">
        <v>258.82</v>
      </c>
      <c r="E9" s="64"/>
      <c r="F9" s="64" t="e" vm="4">
        <v>#VALUE!</v>
      </c>
    </row>
    <row r="10" spans="1:6" ht="21" customHeight="1" x14ac:dyDescent="0.25">
      <c r="A10" s="39">
        <v>45735</v>
      </c>
      <c r="B10" s="39" t="s">
        <v>85</v>
      </c>
      <c r="C10" s="60" t="s">
        <v>71</v>
      </c>
      <c r="D10" s="54">
        <v>2515.4299999999998</v>
      </c>
      <c r="E10" s="64"/>
    </row>
    <row r="11" spans="1:6" ht="21" customHeight="1" x14ac:dyDescent="0.25">
      <c r="A11" s="39">
        <v>45825</v>
      </c>
      <c r="B11" s="39" t="s">
        <v>85</v>
      </c>
      <c r="C11" s="60" t="s">
        <v>72</v>
      </c>
      <c r="D11" s="54">
        <v>2609.35</v>
      </c>
      <c r="E11" s="64"/>
    </row>
    <row r="12" spans="1:6" ht="21" customHeight="1" x14ac:dyDescent="0.25">
      <c r="A12" s="39">
        <v>45705</v>
      </c>
      <c r="B12" s="39" t="s">
        <v>85</v>
      </c>
      <c r="C12" s="61" t="s">
        <v>75</v>
      </c>
      <c r="D12" s="54">
        <v>93.93</v>
      </c>
      <c r="E12" s="64"/>
    </row>
    <row r="13" spans="1:6" x14ac:dyDescent="0.25">
      <c r="A13" s="28" t="s">
        <v>77</v>
      </c>
      <c r="B13" s="28" t="s">
        <v>86</v>
      </c>
      <c r="C13" s="60" t="s">
        <v>78</v>
      </c>
      <c r="D13" s="54">
        <v>16.04</v>
      </c>
      <c r="E13" s="64"/>
    </row>
    <row r="14" spans="1:6" x14ac:dyDescent="0.25">
      <c r="A14" s="28" t="s">
        <v>79</v>
      </c>
      <c r="B14" s="28" t="s">
        <v>86</v>
      </c>
      <c r="C14" s="60" t="s">
        <v>80</v>
      </c>
      <c r="D14" s="54">
        <v>55.1</v>
      </c>
      <c r="E14" s="64"/>
    </row>
    <row r="15" spans="1:6" x14ac:dyDescent="0.25">
      <c r="A15" s="28" t="s">
        <v>87</v>
      </c>
      <c r="B15" s="39" t="s">
        <v>4</v>
      </c>
      <c r="C15" s="62" t="s">
        <v>4</v>
      </c>
      <c r="D15" s="54">
        <v>2604</v>
      </c>
      <c r="E15" s="64"/>
    </row>
    <row r="16" spans="1:6" x14ac:dyDescent="0.25">
      <c r="A16" s="39">
        <v>45886</v>
      </c>
      <c r="B16" s="39" t="s">
        <v>82</v>
      </c>
      <c r="C16" s="60" t="s">
        <v>88</v>
      </c>
      <c r="D16" s="54">
        <v>279.49</v>
      </c>
      <c r="E16" s="64" t="s">
        <v>101</v>
      </c>
    </row>
    <row r="17" spans="1:6" x14ac:dyDescent="0.25">
      <c r="A17" s="39">
        <v>45905</v>
      </c>
      <c r="B17" s="39" t="s">
        <v>82</v>
      </c>
      <c r="C17" s="60" t="s">
        <v>27</v>
      </c>
      <c r="D17" s="54">
        <v>100.54</v>
      </c>
      <c r="E17" s="64" t="s">
        <v>101</v>
      </c>
    </row>
    <row r="18" spans="1:6" x14ac:dyDescent="0.25">
      <c r="A18" s="39">
        <v>45709</v>
      </c>
      <c r="B18" s="39" t="s">
        <v>82</v>
      </c>
      <c r="C18" s="60" t="s">
        <v>27</v>
      </c>
      <c r="D18" s="54">
        <v>45.63</v>
      </c>
      <c r="E18" s="64" t="s">
        <v>100</v>
      </c>
    </row>
    <row r="19" spans="1:6" x14ac:dyDescent="0.25">
      <c r="A19" s="39">
        <v>45800</v>
      </c>
      <c r="B19" s="39" t="s">
        <v>82</v>
      </c>
      <c r="C19" s="60" t="s">
        <v>27</v>
      </c>
      <c r="D19" s="54">
        <v>149.46</v>
      </c>
      <c r="E19" s="64" t="s">
        <v>96</v>
      </c>
    </row>
    <row r="20" spans="1:6" x14ac:dyDescent="0.25">
      <c r="A20" s="39">
        <v>45808</v>
      </c>
      <c r="B20" s="39" t="s">
        <v>82</v>
      </c>
      <c r="C20" s="60" t="s">
        <v>27</v>
      </c>
      <c r="D20" s="54">
        <f>137.69-32.99</f>
        <v>104.69999999999999</v>
      </c>
      <c r="E20" s="64" t="s">
        <v>99</v>
      </c>
    </row>
    <row r="21" spans="1:6" x14ac:dyDescent="0.25">
      <c r="A21" s="39">
        <v>45838</v>
      </c>
      <c r="B21" s="39" t="s">
        <v>82</v>
      </c>
      <c r="C21" s="60" t="s">
        <v>97</v>
      </c>
      <c r="D21" s="54">
        <v>4.58</v>
      </c>
      <c r="E21" s="64" t="s">
        <v>98</v>
      </c>
    </row>
    <row r="22" spans="1:6" x14ac:dyDescent="0.25">
      <c r="A22" s="39" t="s">
        <v>89</v>
      </c>
      <c r="B22" s="39" t="s">
        <v>90</v>
      </c>
      <c r="C22" s="60" t="s">
        <v>90</v>
      </c>
      <c r="D22" s="56">
        <v>54000</v>
      </c>
      <c r="E22" s="64"/>
    </row>
    <row r="23" spans="1:6" x14ac:dyDescent="0.25">
      <c r="A23" s="39" t="s">
        <v>91</v>
      </c>
      <c r="B23" s="39" t="s">
        <v>93</v>
      </c>
      <c r="C23" s="60" t="s">
        <v>92</v>
      </c>
      <c r="D23" s="54">
        <f>1012.45+675.62+199.95+31.51+84.72</f>
        <v>2004.2500000000002</v>
      </c>
      <c r="E23" s="64"/>
    </row>
    <row r="24" spans="1:6" x14ac:dyDescent="0.25">
      <c r="A24" s="39" t="s">
        <v>95</v>
      </c>
      <c r="B24" s="39" t="s">
        <v>93</v>
      </c>
      <c r="C24" s="60" t="s">
        <v>94</v>
      </c>
      <c r="D24" s="56">
        <f>69.07+67.35+31.39+34.24+65.63+65.63+65.63</f>
        <v>398.94</v>
      </c>
      <c r="E24" s="64"/>
    </row>
    <row r="25" spans="1:6" x14ac:dyDescent="0.25">
      <c r="A25" s="39" t="s">
        <v>104</v>
      </c>
      <c r="B25" s="28" t="s">
        <v>83</v>
      </c>
      <c r="C25" s="60" t="s">
        <v>102</v>
      </c>
      <c r="D25" s="56">
        <v>2047</v>
      </c>
      <c r="E25" s="64"/>
    </row>
    <row r="26" spans="1:6" x14ac:dyDescent="0.25">
      <c r="A26" s="28" t="s">
        <v>3</v>
      </c>
      <c r="B26" s="28" t="s">
        <v>3</v>
      </c>
      <c r="C26" s="28" t="s">
        <v>3</v>
      </c>
      <c r="D26" s="54">
        <f>SUBTOTAL(109,Table2[prix])</f>
        <v>68091.72</v>
      </c>
      <c r="E26" s="30"/>
      <c r="F26" s="2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1F90-8AC9-FA41-90FA-F9D34A625629}">
  <dimension ref="A3:E9"/>
  <sheetViews>
    <sheetView workbookViewId="0">
      <selection activeCell="D9" sqref="D9"/>
    </sheetView>
  </sheetViews>
  <sheetFormatPr defaultColWidth="11.42578125" defaultRowHeight="15" x14ac:dyDescent="0.25"/>
  <sheetData>
    <row r="3" spans="1:5" ht="15.75" x14ac:dyDescent="0.25">
      <c r="A3" s="27" t="s">
        <v>14</v>
      </c>
      <c r="B3" s="27" t="s">
        <v>20</v>
      </c>
      <c r="C3" s="27" t="s">
        <v>12</v>
      </c>
      <c r="D3" s="27" t="s">
        <v>13</v>
      </c>
      <c r="E3" s="27" t="s">
        <v>18</v>
      </c>
    </row>
    <row r="4" spans="1:5" ht="42.95" customHeight="1" x14ac:dyDescent="0.25">
      <c r="A4" s="39"/>
      <c r="B4" s="28"/>
      <c r="C4" s="29" t="s">
        <v>70</v>
      </c>
      <c r="D4" s="30">
        <v>5640.58</v>
      </c>
      <c r="E4" s="38"/>
    </row>
    <row r="5" spans="1:5" ht="23.1" customHeight="1" x14ac:dyDescent="0.25">
      <c r="A5" s="28"/>
      <c r="B5" s="28"/>
      <c r="C5" s="29"/>
      <c r="D5" s="30"/>
      <c r="E5" s="38"/>
    </row>
    <row r="6" spans="1:5" x14ac:dyDescent="0.25">
      <c r="A6" s="28"/>
      <c r="B6" s="28"/>
      <c r="C6" s="54"/>
      <c r="D6" s="30"/>
      <c r="E6" s="30"/>
    </row>
    <row r="7" spans="1:5" x14ac:dyDescent="0.25">
      <c r="A7" s="28"/>
      <c r="B7" s="28"/>
      <c r="C7" s="54"/>
      <c r="D7" s="30"/>
      <c r="E7" s="30"/>
    </row>
    <row r="8" spans="1:5" x14ac:dyDescent="0.25">
      <c r="A8" s="39"/>
      <c r="B8" s="28"/>
      <c r="C8" s="28"/>
      <c r="D8" s="30"/>
      <c r="E8" s="30"/>
    </row>
    <row r="9" spans="1:5" x14ac:dyDescent="0.25">
      <c r="A9" s="39"/>
      <c r="B9" s="28"/>
      <c r="C9" s="54"/>
      <c r="D9" s="30"/>
      <c r="E9" s="30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5197-4582-4D03-9277-A4630E77F284}">
  <dimension ref="A5:Q37"/>
  <sheetViews>
    <sheetView workbookViewId="0">
      <selection activeCell="N18" sqref="N18"/>
    </sheetView>
  </sheetViews>
  <sheetFormatPr defaultColWidth="8.85546875" defaultRowHeight="15" x14ac:dyDescent="0.25"/>
  <cols>
    <col min="1" max="1" width="18.85546875" style="23" customWidth="1"/>
    <col min="2" max="2" width="17.28515625" style="22" customWidth="1"/>
    <col min="3" max="3" width="15.42578125" style="23" customWidth="1"/>
    <col min="4" max="4" width="15.42578125" customWidth="1"/>
    <col min="7" max="7" width="10.42578125" bestFit="1" customWidth="1"/>
  </cols>
  <sheetData>
    <row r="5" spans="1:17" ht="20.25" customHeight="1" x14ac:dyDescent="0.25">
      <c r="A5" s="25" t="s">
        <v>14</v>
      </c>
      <c r="B5" s="25" t="s">
        <v>21</v>
      </c>
      <c r="C5" s="25" t="s">
        <v>12</v>
      </c>
      <c r="D5" s="25" t="s">
        <v>17</v>
      </c>
      <c r="E5" s="26" t="s">
        <v>18</v>
      </c>
    </row>
    <row r="6" spans="1:17" ht="66" customHeight="1" x14ac:dyDescent="0.25">
      <c r="A6" s="21">
        <v>45638</v>
      </c>
      <c r="B6" s="21" t="s">
        <v>22</v>
      </c>
      <c r="C6" s="22" t="s">
        <v>15</v>
      </c>
      <c r="D6" s="24">
        <v>2247.7600000000002</v>
      </c>
      <c r="E6" s="23"/>
    </row>
    <row r="7" spans="1:17" ht="61.5" customHeight="1" x14ac:dyDescent="0.25">
      <c r="A7" s="21">
        <v>45304</v>
      </c>
      <c r="B7" s="21" t="s">
        <v>23</v>
      </c>
      <c r="C7" s="22" t="s">
        <v>19</v>
      </c>
      <c r="D7" s="24">
        <v>45.88</v>
      </c>
      <c r="G7" s="32">
        <f>SUM(Table1[Prix])</f>
        <v>4550.5987750000004</v>
      </c>
    </row>
    <row r="8" spans="1:17" x14ac:dyDescent="0.25">
      <c r="A8" s="21">
        <v>45310</v>
      </c>
      <c r="B8" s="21" t="s">
        <v>23</v>
      </c>
      <c r="C8" s="22" t="s">
        <v>24</v>
      </c>
      <c r="D8" s="31">
        <v>184.77</v>
      </c>
    </row>
    <row r="9" spans="1:17" ht="15.75" thickBot="1" x14ac:dyDescent="0.3">
      <c r="A9" s="21">
        <v>45307</v>
      </c>
      <c r="B9" s="21" t="s">
        <v>25</v>
      </c>
      <c r="C9" s="22" t="s">
        <v>26</v>
      </c>
      <c r="D9" s="31">
        <v>141.63</v>
      </c>
    </row>
    <row r="10" spans="1:17" ht="30.75" thickTop="1" x14ac:dyDescent="0.25">
      <c r="A10" s="21">
        <v>45304</v>
      </c>
      <c r="B10" s="21" t="s">
        <v>27</v>
      </c>
      <c r="C10" s="22" t="s">
        <v>28</v>
      </c>
      <c r="D10" s="31">
        <v>51.98</v>
      </c>
      <c r="M10" s="34" t="s">
        <v>36</v>
      </c>
      <c r="N10" s="35" t="s">
        <v>23</v>
      </c>
      <c r="O10" s="36" t="s">
        <v>37</v>
      </c>
      <c r="P10" s="37">
        <f>5.97*2*1.1475</f>
        <v>13.701149999999998</v>
      </c>
      <c r="Q10" s="33"/>
    </row>
    <row r="11" spans="1:17" x14ac:dyDescent="0.25">
      <c r="A11" s="21">
        <v>45299</v>
      </c>
      <c r="B11" s="21" t="s">
        <v>29</v>
      </c>
      <c r="C11" s="22" t="s">
        <v>30</v>
      </c>
      <c r="D11" s="31">
        <f>167*1.1475</f>
        <v>191.63249999999999</v>
      </c>
    </row>
    <row r="12" spans="1:17" x14ac:dyDescent="0.25">
      <c r="A12" s="21">
        <v>45324</v>
      </c>
      <c r="B12" s="21" t="s">
        <v>31</v>
      </c>
      <c r="C12" s="22" t="s">
        <v>32</v>
      </c>
      <c r="D12" s="31">
        <v>2.2999999999999998</v>
      </c>
    </row>
    <row r="13" spans="1:17" x14ac:dyDescent="0.25">
      <c r="A13" s="21">
        <v>45360</v>
      </c>
      <c r="B13" s="21" t="s">
        <v>25</v>
      </c>
      <c r="C13" s="22" t="s">
        <v>33</v>
      </c>
      <c r="D13" s="31">
        <v>31.25</v>
      </c>
    </row>
    <row r="14" spans="1:17" ht="30" x14ac:dyDescent="0.25">
      <c r="A14" s="21">
        <v>45359</v>
      </c>
      <c r="B14" s="21" t="s">
        <v>27</v>
      </c>
      <c r="C14" s="22" t="s">
        <v>34</v>
      </c>
      <c r="D14" s="31">
        <v>110.76</v>
      </c>
      <c r="G14" s="31">
        <f>SUMIF(Table1[Compagnie],"&lt;&gt;Arboplus",Table1[Prix])</f>
        <v>2302.8387749999997</v>
      </c>
    </row>
    <row r="15" spans="1:17" x14ac:dyDescent="0.25">
      <c r="A15" s="21">
        <v>45304</v>
      </c>
      <c r="B15" s="21" t="s">
        <v>27</v>
      </c>
      <c r="C15" s="22" t="s">
        <v>35</v>
      </c>
      <c r="D15" s="31">
        <v>31.03</v>
      </c>
    </row>
    <row r="16" spans="1:17" x14ac:dyDescent="0.25">
      <c r="A16" s="23" t="s">
        <v>36</v>
      </c>
      <c r="B16" s="21" t="s">
        <v>23</v>
      </c>
      <c r="C16" s="22" t="s">
        <v>37</v>
      </c>
      <c r="D16" s="31">
        <v>13.701149999999998</v>
      </c>
    </row>
    <row r="17" spans="1:4" ht="30" x14ac:dyDescent="0.25">
      <c r="A17" s="21">
        <v>45320</v>
      </c>
      <c r="B17" s="21" t="s">
        <v>23</v>
      </c>
      <c r="C17" s="22" t="s">
        <v>38</v>
      </c>
      <c r="D17" s="31">
        <v>14.32</v>
      </c>
    </row>
    <row r="18" spans="1:4" x14ac:dyDescent="0.25">
      <c r="A18" s="21">
        <v>45305</v>
      </c>
      <c r="B18" s="21" t="s">
        <v>23</v>
      </c>
      <c r="C18" s="22" t="s">
        <v>39</v>
      </c>
      <c r="D18" s="31">
        <v>13.75</v>
      </c>
    </row>
    <row r="19" spans="1:4" ht="30" x14ac:dyDescent="0.25">
      <c r="A19" s="21">
        <v>45296</v>
      </c>
      <c r="B19" s="21" t="s">
        <v>31</v>
      </c>
      <c r="C19" s="22" t="s">
        <v>40</v>
      </c>
      <c r="D19" s="31">
        <v>13.55</v>
      </c>
    </row>
    <row r="20" spans="1:4" x14ac:dyDescent="0.25">
      <c r="A20" s="21">
        <v>45308</v>
      </c>
      <c r="B20" s="21" t="s">
        <v>31</v>
      </c>
      <c r="C20" s="22" t="s">
        <v>41</v>
      </c>
      <c r="D20" s="31">
        <v>17.63</v>
      </c>
    </row>
    <row r="21" spans="1:4" ht="30" x14ac:dyDescent="0.25">
      <c r="A21" s="21">
        <v>45305</v>
      </c>
      <c r="B21" s="21" t="s">
        <v>31</v>
      </c>
      <c r="C21" s="22" t="s">
        <v>42</v>
      </c>
      <c r="D21" s="31">
        <v>17.829999999999998</v>
      </c>
    </row>
    <row r="22" spans="1:4" ht="30" x14ac:dyDescent="0.25">
      <c r="A22" s="21">
        <v>45310</v>
      </c>
      <c r="B22" s="21" t="s">
        <v>31</v>
      </c>
      <c r="C22" s="22" t="s">
        <v>43</v>
      </c>
      <c r="D22" s="31">
        <v>14.66</v>
      </c>
    </row>
    <row r="23" spans="1:4" ht="30" x14ac:dyDescent="0.25">
      <c r="A23" s="21">
        <v>45309</v>
      </c>
      <c r="B23" s="21" t="s">
        <v>31</v>
      </c>
      <c r="C23" s="22" t="s">
        <v>43</v>
      </c>
      <c r="D23" s="31">
        <v>4.5999999999999996</v>
      </c>
    </row>
    <row r="24" spans="1:4" ht="30" x14ac:dyDescent="0.25">
      <c r="A24" s="21">
        <v>45310</v>
      </c>
      <c r="B24" s="21" t="s">
        <v>31</v>
      </c>
      <c r="C24" s="22" t="s">
        <v>43</v>
      </c>
      <c r="D24" s="31">
        <v>11.43</v>
      </c>
    </row>
    <row r="25" spans="1:4" ht="30" x14ac:dyDescent="0.25">
      <c r="A25" s="21">
        <v>45307</v>
      </c>
      <c r="B25" s="21" t="s">
        <v>31</v>
      </c>
      <c r="C25" s="22" t="s">
        <v>43</v>
      </c>
      <c r="D25" s="31">
        <v>12.49</v>
      </c>
    </row>
    <row r="26" spans="1:4" ht="30" x14ac:dyDescent="0.25">
      <c r="A26" s="21">
        <v>45303</v>
      </c>
      <c r="B26" s="21" t="s">
        <v>31</v>
      </c>
      <c r="C26" s="22" t="s">
        <v>43</v>
      </c>
      <c r="D26" s="31">
        <v>24.43</v>
      </c>
    </row>
    <row r="27" spans="1:4" ht="30" x14ac:dyDescent="0.25">
      <c r="A27" s="21">
        <v>45305</v>
      </c>
      <c r="B27" s="21" t="s">
        <v>27</v>
      </c>
      <c r="C27" s="22" t="s">
        <v>44</v>
      </c>
      <c r="D27" s="31">
        <v>67.81</v>
      </c>
    </row>
    <row r="28" spans="1:4" x14ac:dyDescent="0.25">
      <c r="A28" s="21">
        <v>45324</v>
      </c>
      <c r="B28" s="21" t="s">
        <v>45</v>
      </c>
      <c r="C28" s="22" t="s">
        <v>46</v>
      </c>
      <c r="D28" s="31">
        <v>6.87</v>
      </c>
    </row>
    <row r="29" spans="1:4" x14ac:dyDescent="0.25">
      <c r="A29" s="21">
        <v>45303</v>
      </c>
      <c r="B29" s="21" t="s">
        <v>27</v>
      </c>
      <c r="C29" s="22" t="s">
        <v>47</v>
      </c>
      <c r="D29" s="31">
        <f>(16.99+4.98+12.99+7.99)*1.1475</f>
        <v>49.285125000000001</v>
      </c>
    </row>
    <row r="30" spans="1:4" x14ac:dyDescent="0.25">
      <c r="A30" s="21">
        <v>45315</v>
      </c>
      <c r="B30" s="21" t="s">
        <v>27</v>
      </c>
      <c r="C30" s="22" t="s">
        <v>48</v>
      </c>
      <c r="D30" s="31">
        <v>62.15</v>
      </c>
    </row>
    <row r="31" spans="1:4" x14ac:dyDescent="0.25">
      <c r="A31" s="21">
        <v>45333</v>
      </c>
      <c r="B31" s="21" t="s">
        <v>27</v>
      </c>
      <c r="C31" s="22" t="s">
        <v>49</v>
      </c>
      <c r="D31" s="31">
        <v>36.78</v>
      </c>
    </row>
    <row r="32" spans="1:4" x14ac:dyDescent="0.25">
      <c r="A32" s="21">
        <v>45333</v>
      </c>
      <c r="B32" s="21" t="s">
        <v>27</v>
      </c>
      <c r="C32" s="22" t="s">
        <v>50</v>
      </c>
      <c r="D32" s="31">
        <v>49.4</v>
      </c>
    </row>
    <row r="33" spans="1:4" x14ac:dyDescent="0.25">
      <c r="A33" s="21">
        <v>45333</v>
      </c>
      <c r="B33" s="21" t="s">
        <v>27</v>
      </c>
      <c r="C33" s="22" t="s">
        <v>51</v>
      </c>
      <c r="D33" s="31">
        <v>8.0299999999999994</v>
      </c>
    </row>
    <row r="34" spans="1:4" ht="30" x14ac:dyDescent="0.25">
      <c r="A34" s="21">
        <v>45524</v>
      </c>
      <c r="B34" s="21" t="s">
        <v>27</v>
      </c>
      <c r="C34" s="22" t="s">
        <v>52</v>
      </c>
      <c r="D34" s="31">
        <v>49.95</v>
      </c>
    </row>
    <row r="35" spans="1:4" x14ac:dyDescent="0.25">
      <c r="A35" s="21">
        <v>45643</v>
      </c>
      <c r="B35" s="21" t="s">
        <v>54</v>
      </c>
      <c r="C35" s="22" t="s">
        <v>55</v>
      </c>
      <c r="D35" s="31">
        <v>1000</v>
      </c>
    </row>
    <row r="36" spans="1:4" x14ac:dyDescent="0.25">
      <c r="A36" s="21">
        <v>45324</v>
      </c>
      <c r="B36" s="21" t="s">
        <v>57</v>
      </c>
      <c r="C36" s="21" t="s">
        <v>56</v>
      </c>
      <c r="D36" s="31">
        <v>22.94</v>
      </c>
    </row>
    <row r="37" spans="1:4" x14ac:dyDescent="0.25">
      <c r="D37" s="32">
        <f>SUBTOTAL(109,Table1[Prix])</f>
        <v>4550.5987750000004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99F5-1CB5-4147-ADB7-45C5093EB84D}">
  <dimension ref="A1:C18"/>
  <sheetViews>
    <sheetView workbookViewId="0">
      <selection activeCell="C18" sqref="C18"/>
    </sheetView>
  </sheetViews>
  <sheetFormatPr defaultColWidth="8.85546875" defaultRowHeight="15" x14ac:dyDescent="0.25"/>
  <cols>
    <col min="1" max="1" width="15.28515625" customWidth="1"/>
    <col min="2" max="2" width="34.42578125" bestFit="1" customWidth="1"/>
  </cols>
  <sheetData>
    <row r="1" spans="1:2" x14ac:dyDescent="0.25">
      <c r="A1" t="s">
        <v>62</v>
      </c>
      <c r="B1" t="s">
        <v>66</v>
      </c>
    </row>
    <row r="2" spans="1:2" x14ac:dyDescent="0.25">
      <c r="A2" s="31">
        <v>185000</v>
      </c>
      <c r="B2" t="s">
        <v>58</v>
      </c>
    </row>
    <row r="3" spans="1:2" x14ac:dyDescent="0.25">
      <c r="A3" s="31">
        <v>71000</v>
      </c>
      <c r="B3" t="s">
        <v>59</v>
      </c>
    </row>
    <row r="4" spans="1:2" x14ac:dyDescent="0.25">
      <c r="A4" s="31">
        <v>920000</v>
      </c>
      <c r="B4" t="s">
        <v>60</v>
      </c>
    </row>
    <row r="5" spans="1:2" x14ac:dyDescent="0.25">
      <c r="A5" s="31">
        <v>4550</v>
      </c>
      <c r="B5" t="s">
        <v>61</v>
      </c>
    </row>
    <row r="7" spans="1:2" x14ac:dyDescent="0.25">
      <c r="A7" t="s">
        <v>65</v>
      </c>
    </row>
    <row r="8" spans="1:2" x14ac:dyDescent="0.25">
      <c r="A8" s="31">
        <v>380000</v>
      </c>
      <c r="B8" t="s">
        <v>63</v>
      </c>
    </row>
    <row r="9" spans="1:2" x14ac:dyDescent="0.25">
      <c r="A9" s="31">
        <v>3500</v>
      </c>
      <c r="B9" t="s">
        <v>61</v>
      </c>
    </row>
    <row r="10" spans="1:2" x14ac:dyDescent="0.25">
      <c r="B10" t="s">
        <v>64</v>
      </c>
    </row>
    <row r="13" spans="1:2" x14ac:dyDescent="0.25">
      <c r="A13">
        <v>840000</v>
      </c>
    </row>
    <row r="14" spans="1:2" x14ac:dyDescent="0.25">
      <c r="A14">
        <v>672000</v>
      </c>
    </row>
    <row r="15" spans="1:2" x14ac:dyDescent="0.25">
      <c r="A15">
        <f>A13-A14</f>
        <v>168000</v>
      </c>
    </row>
    <row r="16" spans="1:2" x14ac:dyDescent="0.25">
      <c r="A16" s="53">
        <f>1-A15/A13</f>
        <v>0.8</v>
      </c>
    </row>
    <row r="18" spans="3:3" x14ac:dyDescent="0.25">
      <c r="C18" t="s">
        <v>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f3630d-e5de-4172-b492-0cf5cd387a41}" enabled="0" method="" siteId="{b0f3630d-e5de-4172-b492-0cf5cd387a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Calculateur</vt:lpstr>
      <vt:lpstr>2025 Factures</vt:lpstr>
      <vt:lpstr>2026 Factures</vt:lpstr>
      <vt:lpstr>2024 Factures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Rouaifi</dc:creator>
  <cp:lastModifiedBy>Amine Rouaifi</cp:lastModifiedBy>
  <dcterms:created xsi:type="dcterms:W3CDTF">2025-03-25T16:07:52Z</dcterms:created>
  <dcterms:modified xsi:type="dcterms:W3CDTF">2026-03-19T20:19:53Z</dcterms:modified>
</cp:coreProperties>
</file>