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chandoo\Project Folder\"/>
    </mc:Choice>
  </mc:AlternateContent>
  <xr:revisionPtr revIDLastSave="0" documentId="13_ncr:1_{23CC81AF-53CA-4570-9BF5-200B25CF9CE4}" xr6:coauthVersionLast="47" xr6:coauthVersionMax="47" xr10:uidLastSave="{00000000-0000-0000-0000-000000000000}"/>
  <bookViews>
    <workbookView xWindow="-120" yWindow="-120" windowWidth="29040" windowHeight="15720" tabRatio="669" firstSheet="2" activeTab="6" xr2:uid="{26D4546B-D2A1-4444-8EAF-A6228F96F0C1}"/>
  </bookViews>
  <sheets>
    <sheet name="Data" sheetId="1" r:id="rId1"/>
    <sheet name="sales analysis with pivot table" sheetId="5" r:id="rId2"/>
    <sheet name="Top 5 products with$ per unit" sheetId="6" r:id="rId3"/>
    <sheet name="Best sales person by country" sheetId="8" r:id="rId4"/>
    <sheet name="Anomaly" sheetId="7" r:id="rId5"/>
    <sheet name="Dynamic country level sales rep" sheetId="11" r:id="rId6"/>
    <sheet name="which products to discontinue" sheetId="14" r:id="rId7"/>
  </sheets>
  <definedNames>
    <definedName name="_xlnm._FilterDatabase" localSheetId="0" hidden="1">Data!$C$4:$G$131</definedName>
    <definedName name="_xlchart.v1.0" hidden="1">Anomaly!$P$3:$P$129</definedName>
    <definedName name="_xlchart.v1.1" hidden="1">Anomaly!$R$3:$R$129</definedName>
    <definedName name="_xlcn.WorksheetConnection_beginnerDAcourseblank.xlsxchocolates" hidden="1">chocolates</definedName>
    <definedName name="_xlcn.WorksheetConnection_beginnerDAcourseblank.xlsxproducts" hidden="1">products[]</definedName>
    <definedName name="_xlcn.WorksheetConnection_beginnerDAcourseblank.xlsxTable3" hidden="1">Table3[]</definedName>
    <definedName name="_xlcn.WorksheetConnection_beginnerDAcourseblank.xlsxTable5" hidden="1">Data[]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5" name="Table5" connection="WorksheetConnection_beginner-DA-course-blank.xlsx!Table5"/>
          <x15:modelTable id="Table3" name="Table3" connection="WorksheetConnection_beginner-DA-course-blank.xlsx!Table3"/>
          <x15:modelTable id="products" name="products" connection="WorksheetConnection_beginner-DA-course-blank.xlsx!products"/>
          <x15:modelTable id="chocolates" name="chocolates" connection="WorksheetConnection_beginner-DA-course-blank.xlsx!chocola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4" l="1" a="1"/>
  <c r="G7" i="14" s="1"/>
  <c r="Q5" i="1"/>
  <c r="P5" i="1"/>
  <c r="M9" i="1"/>
  <c r="M10" i="1" s="1"/>
  <c r="M8" i="1"/>
  <c r="M7" i="1"/>
  <c r="M6" i="1"/>
  <c r="L10" i="1"/>
  <c r="L9" i="1"/>
  <c r="L8" i="1"/>
  <c r="L7" i="1"/>
  <c r="L6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5" i="1"/>
  <c r="I5" i="1" s="1"/>
  <c r="F132" i="1"/>
  <c r="S146" i="1" a="1"/>
  <c r="S146" i="1" s="1"/>
  <c r="C153" i="1" l="1" a="1"/>
  <c r="C153" i="1" s="1"/>
  <c r="L167" i="1" l="1"/>
  <c r="L166" i="1" a="1"/>
  <c r="L166" i="1" s="1"/>
  <c r="P159" i="1" a="1"/>
  <c r="P159" i="1" s="1"/>
  <c r="O159" i="1" a="1"/>
  <c r="O159" i="1" s="1"/>
  <c r="M159" i="1" a="1"/>
  <c r="M159" i="1" s="1"/>
  <c r="C146" i="1" a="1"/>
  <c r="C146" i="1" s="1"/>
  <c r="L145" i="1" a="1"/>
  <c r="L145" i="1" s="1"/>
  <c r="M5" i="14" a="1"/>
  <c r="M5" i="14" s="1"/>
  <c r="M6" i="11" a="1"/>
  <c r="M6" i="11" s="1"/>
  <c r="O6" i="11" a="1"/>
  <c r="O6" i="11" s="1"/>
  <c r="C8" i="11"/>
  <c r="G8" i="11" a="1"/>
  <c r="D132" i="1"/>
  <c r="E132" i="1"/>
  <c r="G132" i="1"/>
  <c r="H7" i="14" l="1"/>
  <c r="H10" i="14"/>
  <c r="H22" i="14"/>
  <c r="H23" i="14"/>
  <c r="H11" i="14"/>
  <c r="H12" i="14"/>
  <c r="H24" i="14"/>
  <c r="I28" i="14"/>
  <c r="H13" i="14"/>
  <c r="H25" i="14"/>
  <c r="I25" i="14"/>
  <c r="H14" i="14"/>
  <c r="H26" i="14"/>
  <c r="I27" i="14"/>
  <c r="H18" i="14"/>
  <c r="H19" i="14"/>
  <c r="H15" i="14"/>
  <c r="H27" i="14"/>
  <c r="I20" i="14"/>
  <c r="I15" i="14"/>
  <c r="H16" i="14"/>
  <c r="H28" i="14"/>
  <c r="J28" i="14" s="1"/>
  <c r="K28" i="14" s="1"/>
  <c r="I18" i="14"/>
  <c r="I16" i="14"/>
  <c r="H21" i="14"/>
  <c r="H9" i="14"/>
  <c r="H20" i="14"/>
  <c r="H8" i="14"/>
  <c r="I8" i="14"/>
  <c r="H17" i="14"/>
  <c r="I11" i="14"/>
  <c r="G8" i="11"/>
  <c r="I8" i="11" s="1"/>
  <c r="I13" i="11"/>
  <c r="I14" i="11"/>
  <c r="I17" i="11"/>
  <c r="I15" i="11"/>
  <c r="I16" i="11"/>
  <c r="I10" i="11"/>
  <c r="I9" i="11"/>
  <c r="I11" i="11"/>
  <c r="I12" i="11"/>
  <c r="I24" i="14"/>
  <c r="I14" i="14"/>
  <c r="I12" i="14"/>
  <c r="I13" i="14"/>
  <c r="I10" i="14"/>
  <c r="J10" i="14" s="1"/>
  <c r="K10" i="14" s="1"/>
  <c r="I21" i="14"/>
  <c r="I22" i="14"/>
  <c r="I17" i="14"/>
  <c r="C147" i="1" a="1"/>
  <c r="C147" i="1" s="1"/>
  <c r="I7" i="14"/>
  <c r="I19" i="14"/>
  <c r="I23" i="14"/>
  <c r="I26" i="14"/>
  <c r="C9" i="11"/>
  <c r="C10" i="11" s="1"/>
  <c r="I9" i="14"/>
  <c r="H13" i="11"/>
  <c r="J13" i="11" s="1"/>
  <c r="H12" i="11"/>
  <c r="J12" i="11" s="1"/>
  <c r="H17" i="11"/>
  <c r="J17" i="11" s="1"/>
  <c r="H11" i="11"/>
  <c r="J11" i="11" s="1"/>
  <c r="I132" i="1"/>
  <c r="H16" i="11"/>
  <c r="J16" i="11" s="1"/>
  <c r="H10" i="11"/>
  <c r="J10" i="11" s="1"/>
  <c r="H15" i="11"/>
  <c r="J15" i="11" s="1"/>
  <c r="H9" i="11"/>
  <c r="J9" i="11" s="1"/>
  <c r="H14" i="11"/>
  <c r="J14" i="11" s="1"/>
  <c r="H132" i="1"/>
  <c r="H8" i="11"/>
  <c r="J8" i="11" s="1"/>
  <c r="J25" i="14" l="1"/>
  <c r="K25" i="14" s="1"/>
  <c r="J17" i="14"/>
  <c r="K17" i="14" s="1"/>
  <c r="J16" i="14"/>
  <c r="K16" i="14" s="1"/>
  <c r="J15" i="14"/>
  <c r="K15" i="14" s="1"/>
  <c r="J24" i="14"/>
  <c r="K24" i="14" s="1"/>
  <c r="J21" i="14"/>
  <c r="K21" i="14" s="1"/>
  <c r="J13" i="14"/>
  <c r="K13" i="14" s="1"/>
  <c r="J19" i="14"/>
  <c r="K19" i="14" s="1"/>
  <c r="J27" i="14"/>
  <c r="K27" i="14" s="1"/>
  <c r="J11" i="14"/>
  <c r="K11" i="14" s="1"/>
  <c r="J14" i="14"/>
  <c r="K14" i="14" s="1"/>
  <c r="J23" i="14"/>
  <c r="K23" i="14" s="1"/>
  <c r="J26" i="14"/>
  <c r="K26" i="14" s="1"/>
  <c r="J18" i="14"/>
  <c r="K18" i="14" s="1"/>
  <c r="J12" i="14"/>
  <c r="K12" i="14" s="1"/>
  <c r="J9" i="14"/>
  <c r="K9" i="14" s="1"/>
  <c r="J22" i="14"/>
  <c r="K22" i="14" s="1"/>
  <c r="J8" i="14"/>
  <c r="K8" i="14" s="1"/>
  <c r="J20" i="14"/>
  <c r="K20" i="14" s="1"/>
  <c r="J7" i="14"/>
  <c r="K7" i="1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0E18CC-9D27-4FBC-997C-9E86056E73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A487D5A-A9E2-44C6-B5F4-86906A418E01}" name="WorksheetConnection_beginner-DA-course-blank.xlsx!chocolates" type="102" refreshedVersion="7" minRefreshableVersion="5">
    <extLst>
      <ext xmlns:x15="http://schemas.microsoft.com/office/spreadsheetml/2010/11/main" uri="{DE250136-89BD-433C-8126-D09CA5730AF9}">
        <x15:connection id="chocolates" autoDelete="1">
          <x15:rangePr sourceName="_xlcn.WorksheetConnection_beginnerDAcourseblank.xlsxchocolates"/>
        </x15:connection>
      </ext>
    </extLst>
  </connection>
  <connection id="3" xr16:uid="{677B5FF5-9C55-464B-B1B8-6E5CBAFEA734}" name="WorksheetConnection_beginner-DA-course-blank.xlsx!products" type="102" refreshedVersion="7" minRefreshableVersion="5">
    <extLst>
      <ext xmlns:x15="http://schemas.microsoft.com/office/spreadsheetml/2010/11/main" uri="{DE250136-89BD-433C-8126-D09CA5730AF9}">
        <x15:connection id="products">
          <x15:rangePr sourceName="_xlcn.WorksheetConnection_beginnerDAcourseblank.xlsxproducts"/>
        </x15:connection>
      </ext>
    </extLst>
  </connection>
  <connection id="4" xr16:uid="{D11F27BB-A7C8-4B84-9FB9-C030C051FD11}" name="WorksheetConnection_beginner-DA-course-blank.xlsx!Table3" type="102" refreshedVersion="7" minRefreshableVersion="5">
    <extLst>
      <ext xmlns:x15="http://schemas.microsoft.com/office/spreadsheetml/2010/11/main" uri="{DE250136-89BD-433C-8126-D09CA5730AF9}">
        <x15:connection id="Table3">
          <x15:rangePr sourceName="_xlcn.WorksheetConnection_beginnerDAcourseblank.xlsxTable3"/>
        </x15:connection>
      </ext>
    </extLst>
  </connection>
  <connection id="5" xr16:uid="{81C180E4-99C7-4826-96CA-FC4514309D71}" name="WorksheetConnection_beginner-DA-course-blank.xlsx!Table5" type="102" refreshedVersion="7" minRefreshableVersion="5">
    <extLst>
      <ext xmlns:x15="http://schemas.microsoft.com/office/spreadsheetml/2010/11/main" uri="{DE250136-89BD-433C-8126-D09CA5730AF9}">
        <x15:connection id="Table5">
          <x15:rangePr sourceName="_xlcn.WorksheetConnection_beginnerDAcourseblank.xlsxTable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<sst xmlns="http://schemas.openxmlformats.org/spreadsheetml/2006/main" count="878" uniqueCount="84">
  <si>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</si>
  <si>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</si>
  <si>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</si>
  <si>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</si>
  <si>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</si>
  <si>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</si>
  <si>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</si>
  <si>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</si>
  <si>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</si>
  <si>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</si>
  <si>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</si>
  <si>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</si>
  <si>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</si>
  <si>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</si>
  <si>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</si>
  <si>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</si>
  <si>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</si>
  <si>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</si>
  <si>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</si>
  <si>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</si>
  <si>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</si>
  <si>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</si>
  <si>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</si>
  <si>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</si>
  <si>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</si>
  <si>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</si>
  <si>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</si>
  <si>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</si>
  <si>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</si>
  <si>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</si>
  <si>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</si>
  <si>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</si>
  <si>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</si>
  <si>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</si>
  <si>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</si>
  <si>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</si>
  <si>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</si>
  <si>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</si>
  <si>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</si>
  <si>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</si>
  <si>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</si>
  <si>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</si>
  <si>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Quick statistics</t>
  </si>
  <si>
    <t>Units</t>
  </si>
  <si>
    <t>Cost per unit</t>
  </si>
  <si>
    <t>amount</t>
  </si>
  <si>
    <t>Row Labels</t>
  </si>
  <si>
    <t>Grand Total</t>
  </si>
  <si>
    <t>Sum of Amount</t>
  </si>
  <si>
    <t>Sum of Units</t>
  </si>
  <si>
    <t xml:space="preserve"> </t>
  </si>
  <si>
    <t>sales per unit</t>
  </si>
  <si>
    <t>Total</t>
  </si>
  <si>
    <t>cost per unit</t>
  </si>
  <si>
    <t>cost</t>
  </si>
  <si>
    <t>total sales</t>
  </si>
  <si>
    <t>total cost</t>
  </si>
  <si>
    <t xml:space="preserve">profit </t>
  </si>
  <si>
    <t>profit</t>
  </si>
  <si>
    <t>profit %</t>
  </si>
  <si>
    <t>product</t>
  </si>
  <si>
    <t>filter</t>
  </si>
  <si>
    <t>sales from</t>
  </si>
  <si>
    <t xml:space="preserve">sales above </t>
  </si>
  <si>
    <t>totall amounts</t>
  </si>
  <si>
    <t>total units</t>
  </si>
  <si>
    <t>Average</t>
  </si>
  <si>
    <t>Median</t>
  </si>
  <si>
    <t>Min</t>
  </si>
  <si>
    <t>Max</t>
  </si>
  <si>
    <t>Range</t>
  </si>
  <si>
    <t>Products</t>
  </si>
  <si>
    <t>Regions</t>
  </si>
  <si>
    <t>EDA for Awesome chocolates Sales</t>
  </si>
  <si>
    <t>Next page</t>
  </si>
  <si>
    <t>Sales analysis with pivot table</t>
  </si>
  <si>
    <t>Top 5 products with $ per unit</t>
  </si>
  <si>
    <t>Best sales person by country</t>
  </si>
  <si>
    <t>Anomaly</t>
  </si>
  <si>
    <t>Sales by person</t>
  </si>
  <si>
    <t>Quick summary</t>
  </si>
  <si>
    <t>Pick a country &gt;&gt;&gt;</t>
  </si>
  <si>
    <t>Dynamic country level sales table</t>
  </si>
  <si>
    <t>Which product to discontinue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</si>
</sst>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26"/>
      <color theme="1"/>
      <name val="Segoe UI Light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/>
      <bottom style="dashed">
        <color theme="0" tint="-0.14996795556505021"/>
      </bottom>
      <diagonal/>
    </border>
  </borders>
  <cellStyleXfs count="4">
    <xf numFmtId="0" fontId="0" fillId="0" borderId="0"/>
    <xf numFmtId="0" fontId="5" fillId="10" borderId="0" applyNumberFormat="0" applyBorder="0" applyAlignment="0" applyProtection="0"/>
    <xf numFmtId="44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5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3" fontId="0" fillId="0" borderId="0" xfId="0" applyNumberFormat="1"/>
    <xf numFmtId="8" fontId="0" fillId="0" borderId="0" xfId="0" applyNumberFormat="1"/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164" fontId="0" fillId="0" borderId="0" xfId="0" applyNumberFormat="1"/>
    <xf numFmtId="0" fontId="0" fillId="0" borderId="0" xfId="0" pivotButton="1"/>
    <xf numFmtId="0" fontId="3" fillId="6" borderId="1" xfId="0" applyFont="1" applyFill="1" applyBorder="1" applyAlignment="1">
      <alignment horizontal="left"/>
    </xf>
    <xf numFmtId="0" fontId="0" fillId="7" borderId="2" xfId="0" applyFill="1" applyBorder="1"/>
    <xf numFmtId="0" fontId="0" fillId="0" borderId="0" xfId="0" applyAlignment="1">
      <alignment horizontal="left" indent="1"/>
    </xf>
    <xf numFmtId="164" fontId="0" fillId="7" borderId="2" xfId="0" applyNumberFormat="1" applyFill="1" applyBorder="1"/>
    <xf numFmtId="0" fontId="0" fillId="8" borderId="0" xfId="0" applyFill="1"/>
    <xf numFmtId="0" fontId="0" fillId="9" borderId="0" xfId="0" applyFill="1"/>
    <xf numFmtId="165" fontId="0" fillId="0" borderId="0" xfId="0" applyNumberFormat="1"/>
    <xf numFmtId="0" fontId="0" fillId="11" borderId="0" xfId="0" applyFill="1"/>
    <xf numFmtId="0" fontId="5" fillId="10" borderId="3" xfId="1" applyBorder="1"/>
    <xf numFmtId="0" fontId="0" fillId="1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44" fontId="0" fillId="3" borderId="0" xfId="2" applyFont="1" applyFill="1"/>
    <xf numFmtId="44" fontId="0" fillId="0" borderId="0" xfId="2" applyFont="1"/>
    <xf numFmtId="44" fontId="3" fillId="6" borderId="1" xfId="2" applyFont="1" applyFill="1" applyBorder="1" applyAlignment="1">
      <alignment horizontal="left"/>
    </xf>
    <xf numFmtId="44" fontId="0" fillId="7" borderId="2" xfId="2" applyFont="1" applyFill="1" applyBorder="1"/>
    <xf numFmtId="44" fontId="0" fillId="11" borderId="0" xfId="2" applyFont="1" applyFill="1"/>
    <xf numFmtId="44" fontId="5" fillId="10" borderId="3" xfId="2" applyFont="1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4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66" fontId="0" fillId="0" borderId="0" xfId="0" applyNumberFormat="1"/>
    <xf numFmtId="0" fontId="9" fillId="0" borderId="0" xfId="3" applyFont="1"/>
    <xf numFmtId="0" fontId="0" fillId="14" borderId="0" xfId="0" applyFill="1"/>
    <xf numFmtId="0" fontId="10" fillId="5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0" fillId="15" borderId="0" xfId="0" applyFill="1" applyAlignment="1">
      <alignment horizontal="center" vertical="center"/>
    </xf>
    <xf numFmtId="0" fontId="0" fillId="16" borderId="0" xfId="0" applyFill="1"/>
    <xf numFmtId="0" fontId="0" fillId="0" borderId="0" xfId="0" applyAlignment="1">
      <alignment horizontal="center"/>
    </xf>
    <xf numFmtId="0" fontId="10" fillId="5" borderId="0" xfId="0" applyFont="1" applyFill="1" applyAlignment="1">
      <alignment horizontal="left"/>
    </xf>
    <xf numFmtId="2" fontId="0" fillId="0" borderId="0" xfId="0" applyNumberFormat="1" applyAlignment="1">
      <alignment horizontal="right"/>
    </xf>
  </cellXfs>
  <cellStyles count="4">
    <cellStyle name="Currency" xfId="2" builtinId="4"/>
    <cellStyle name="Hyperlink" xfId="3" builtinId="8"/>
    <cellStyle name="Neutral" xfId="1" builtinId="28"/>
    <cellStyle name="Normal" xfId="0" builtinId="0"/>
  </cellStyles>
  <dxfs count="8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numFmt numFmtId="12" formatCode="&quot;$&quot;#,##0.00_);[Red]\(&quot;$&quot;#,##0.00\)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xVal>
            <c:numRef>
              <c:f>Anomaly!$R$3:$R$129</c:f>
              <c:numCache>
                <c:formatCode>General</c:formatCode>
                <c:ptCount val="127"/>
                <c:pt idx="0">
                  <c:v>21</c:v>
                </c:pt>
                <c:pt idx="1">
                  <c:v>98</c:v>
                </c:pt>
                <c:pt idx="2">
                  <c:v>98</c:v>
                </c:pt>
                <c:pt idx="3">
                  <c:v>245</c:v>
                </c:pt>
                <c:pt idx="4">
                  <c:v>259</c:v>
                </c:pt>
                <c:pt idx="5">
                  <c:v>385</c:v>
                </c:pt>
                <c:pt idx="6">
                  <c:v>567</c:v>
                </c:pt>
                <c:pt idx="7">
                  <c:v>707</c:v>
                </c:pt>
                <c:pt idx="8">
                  <c:v>714</c:v>
                </c:pt>
                <c:pt idx="9">
                  <c:v>798</c:v>
                </c:pt>
                <c:pt idx="10">
                  <c:v>819</c:v>
                </c:pt>
                <c:pt idx="11">
                  <c:v>819</c:v>
                </c:pt>
                <c:pt idx="12">
                  <c:v>854</c:v>
                </c:pt>
                <c:pt idx="13">
                  <c:v>861</c:v>
                </c:pt>
                <c:pt idx="14">
                  <c:v>938</c:v>
                </c:pt>
                <c:pt idx="15">
                  <c:v>938</c:v>
                </c:pt>
                <c:pt idx="16">
                  <c:v>966</c:v>
                </c:pt>
                <c:pt idx="17">
                  <c:v>973</c:v>
                </c:pt>
                <c:pt idx="18">
                  <c:v>1071</c:v>
                </c:pt>
                <c:pt idx="19">
                  <c:v>1085</c:v>
                </c:pt>
                <c:pt idx="20">
                  <c:v>1134</c:v>
                </c:pt>
                <c:pt idx="21">
                  <c:v>1274</c:v>
                </c:pt>
                <c:pt idx="22">
                  <c:v>1302</c:v>
                </c:pt>
                <c:pt idx="23">
                  <c:v>1526</c:v>
                </c:pt>
                <c:pt idx="24">
                  <c:v>1589</c:v>
                </c:pt>
                <c:pt idx="25">
                  <c:v>1701</c:v>
                </c:pt>
                <c:pt idx="26">
                  <c:v>1771</c:v>
                </c:pt>
                <c:pt idx="27">
                  <c:v>1778</c:v>
                </c:pt>
                <c:pt idx="28">
                  <c:v>1785</c:v>
                </c:pt>
                <c:pt idx="29">
                  <c:v>1890</c:v>
                </c:pt>
                <c:pt idx="30">
                  <c:v>1904</c:v>
                </c:pt>
                <c:pt idx="31">
                  <c:v>1925</c:v>
                </c:pt>
                <c:pt idx="32">
                  <c:v>1932</c:v>
                </c:pt>
                <c:pt idx="33">
                  <c:v>1974</c:v>
                </c:pt>
                <c:pt idx="34">
                  <c:v>2009</c:v>
                </c:pt>
                <c:pt idx="35">
                  <c:v>2023</c:v>
                </c:pt>
                <c:pt idx="36">
                  <c:v>2100</c:v>
                </c:pt>
                <c:pt idx="37">
                  <c:v>2114</c:v>
                </c:pt>
                <c:pt idx="38">
                  <c:v>2275</c:v>
                </c:pt>
                <c:pt idx="39">
                  <c:v>2317</c:v>
                </c:pt>
                <c:pt idx="40">
                  <c:v>2324</c:v>
                </c:pt>
                <c:pt idx="41">
                  <c:v>2415</c:v>
                </c:pt>
                <c:pt idx="42">
                  <c:v>2464</c:v>
                </c:pt>
                <c:pt idx="43">
                  <c:v>2471</c:v>
                </c:pt>
                <c:pt idx="44">
                  <c:v>2639</c:v>
                </c:pt>
                <c:pt idx="45">
                  <c:v>2646</c:v>
                </c:pt>
                <c:pt idx="46">
                  <c:v>2702</c:v>
                </c:pt>
                <c:pt idx="47">
                  <c:v>2856</c:v>
                </c:pt>
                <c:pt idx="48">
                  <c:v>2870</c:v>
                </c:pt>
                <c:pt idx="49">
                  <c:v>2954</c:v>
                </c:pt>
                <c:pt idx="50">
                  <c:v>3052</c:v>
                </c:pt>
                <c:pt idx="51">
                  <c:v>3094</c:v>
                </c:pt>
                <c:pt idx="52">
                  <c:v>3101</c:v>
                </c:pt>
                <c:pt idx="53">
                  <c:v>3164</c:v>
                </c:pt>
                <c:pt idx="54">
                  <c:v>3339</c:v>
                </c:pt>
                <c:pt idx="55">
                  <c:v>3402</c:v>
                </c:pt>
                <c:pt idx="56">
                  <c:v>3507</c:v>
                </c:pt>
                <c:pt idx="57">
                  <c:v>3556</c:v>
                </c:pt>
                <c:pt idx="58">
                  <c:v>3689</c:v>
                </c:pt>
                <c:pt idx="59">
                  <c:v>3752</c:v>
                </c:pt>
                <c:pt idx="60">
                  <c:v>3773</c:v>
                </c:pt>
                <c:pt idx="61">
                  <c:v>3794</c:v>
                </c:pt>
                <c:pt idx="62">
                  <c:v>3808</c:v>
                </c:pt>
                <c:pt idx="63">
                  <c:v>3864</c:v>
                </c:pt>
                <c:pt idx="64">
                  <c:v>3920</c:v>
                </c:pt>
                <c:pt idx="65">
                  <c:v>4018</c:v>
                </c:pt>
                <c:pt idx="66">
                  <c:v>4018</c:v>
                </c:pt>
                <c:pt idx="67">
                  <c:v>4242</c:v>
                </c:pt>
                <c:pt idx="68">
                  <c:v>4305</c:v>
                </c:pt>
                <c:pt idx="69">
                  <c:v>4326</c:v>
                </c:pt>
                <c:pt idx="70">
                  <c:v>4417</c:v>
                </c:pt>
                <c:pt idx="71">
                  <c:v>4424</c:v>
                </c:pt>
                <c:pt idx="72">
                  <c:v>4438</c:v>
                </c:pt>
                <c:pt idx="73">
                  <c:v>4480</c:v>
                </c:pt>
                <c:pt idx="74">
                  <c:v>4487</c:v>
                </c:pt>
                <c:pt idx="75">
                  <c:v>4585</c:v>
                </c:pt>
                <c:pt idx="76">
                  <c:v>4592</c:v>
                </c:pt>
                <c:pt idx="77">
                  <c:v>4725</c:v>
                </c:pt>
                <c:pt idx="78">
                  <c:v>4753</c:v>
                </c:pt>
                <c:pt idx="79">
                  <c:v>4753</c:v>
                </c:pt>
                <c:pt idx="80">
                  <c:v>4858</c:v>
                </c:pt>
                <c:pt idx="81">
                  <c:v>4949</c:v>
                </c:pt>
                <c:pt idx="82">
                  <c:v>4956</c:v>
                </c:pt>
                <c:pt idx="83">
                  <c:v>4970</c:v>
                </c:pt>
                <c:pt idx="84">
                  <c:v>5012</c:v>
                </c:pt>
                <c:pt idx="85">
                  <c:v>5019</c:v>
                </c:pt>
                <c:pt idx="86">
                  <c:v>5194</c:v>
                </c:pt>
                <c:pt idx="87">
                  <c:v>5355</c:v>
                </c:pt>
                <c:pt idx="88">
                  <c:v>5474</c:v>
                </c:pt>
                <c:pt idx="89">
                  <c:v>5551</c:v>
                </c:pt>
                <c:pt idx="90">
                  <c:v>5586</c:v>
                </c:pt>
                <c:pt idx="91">
                  <c:v>5670</c:v>
                </c:pt>
                <c:pt idx="92">
                  <c:v>5677</c:v>
                </c:pt>
                <c:pt idx="93">
                  <c:v>6118</c:v>
                </c:pt>
                <c:pt idx="94">
                  <c:v>6279</c:v>
                </c:pt>
                <c:pt idx="95">
                  <c:v>6580</c:v>
                </c:pt>
                <c:pt idx="96">
                  <c:v>6608</c:v>
                </c:pt>
                <c:pt idx="97">
                  <c:v>6657</c:v>
                </c:pt>
                <c:pt idx="98">
                  <c:v>6657</c:v>
                </c:pt>
                <c:pt idx="99">
                  <c:v>6706</c:v>
                </c:pt>
                <c:pt idx="100">
                  <c:v>6755</c:v>
                </c:pt>
                <c:pt idx="101">
                  <c:v>6853</c:v>
                </c:pt>
                <c:pt idx="102">
                  <c:v>7021</c:v>
                </c:pt>
                <c:pt idx="103">
                  <c:v>7259</c:v>
                </c:pt>
                <c:pt idx="104">
                  <c:v>7280</c:v>
                </c:pt>
                <c:pt idx="105">
                  <c:v>7308</c:v>
                </c:pt>
                <c:pt idx="106">
                  <c:v>7455</c:v>
                </c:pt>
                <c:pt idx="107">
                  <c:v>7651</c:v>
                </c:pt>
                <c:pt idx="108">
                  <c:v>7777</c:v>
                </c:pt>
                <c:pt idx="109">
                  <c:v>7833</c:v>
                </c:pt>
                <c:pt idx="110">
                  <c:v>7847</c:v>
                </c:pt>
                <c:pt idx="111">
                  <c:v>8008</c:v>
                </c:pt>
                <c:pt idx="112">
                  <c:v>8463</c:v>
                </c:pt>
                <c:pt idx="113">
                  <c:v>8841</c:v>
                </c:pt>
                <c:pt idx="114">
                  <c:v>8862</c:v>
                </c:pt>
                <c:pt idx="115">
                  <c:v>8869</c:v>
                </c:pt>
                <c:pt idx="116">
                  <c:v>8890</c:v>
                </c:pt>
                <c:pt idx="117">
                  <c:v>9443</c:v>
                </c:pt>
                <c:pt idx="118">
                  <c:v>9632</c:v>
                </c:pt>
                <c:pt idx="119">
                  <c:v>9835</c:v>
                </c:pt>
                <c:pt idx="120">
                  <c:v>9926</c:v>
                </c:pt>
                <c:pt idx="121">
                  <c:v>10129</c:v>
                </c:pt>
                <c:pt idx="122">
                  <c:v>10311</c:v>
                </c:pt>
                <c:pt idx="123">
                  <c:v>11522</c:v>
                </c:pt>
                <c:pt idx="124">
                  <c:v>12348</c:v>
                </c:pt>
                <c:pt idx="125">
                  <c:v>13391</c:v>
                </c:pt>
                <c:pt idx="126">
                  <c:v>15610</c:v>
                </c:pt>
              </c:numCache>
            </c:numRef>
          </c:xVal>
          <c:yVal>
            <c:numRef>
              <c:f>Anomaly!$S$3:$S$129</c:f>
              <c:numCache>
                <c:formatCode>General</c:formatCode>
                <c:ptCount val="127"/>
                <c:pt idx="0">
                  <c:v>168</c:v>
                </c:pt>
                <c:pt idx="1">
                  <c:v>204</c:v>
                </c:pt>
                <c:pt idx="2">
                  <c:v>159</c:v>
                </c:pt>
                <c:pt idx="3">
                  <c:v>288</c:v>
                </c:pt>
                <c:pt idx="4">
                  <c:v>207</c:v>
                </c:pt>
                <c:pt idx="5">
                  <c:v>249</c:v>
                </c:pt>
                <c:pt idx="6">
                  <c:v>228</c:v>
                </c:pt>
                <c:pt idx="7">
                  <c:v>174</c:v>
                </c:pt>
                <c:pt idx="8">
                  <c:v>231</c:v>
                </c:pt>
                <c:pt idx="9">
                  <c:v>519</c:v>
                </c:pt>
                <c:pt idx="10">
                  <c:v>510</c:v>
                </c:pt>
                <c:pt idx="11">
                  <c:v>306</c:v>
                </c:pt>
                <c:pt idx="12">
                  <c:v>309</c:v>
                </c:pt>
                <c:pt idx="13">
                  <c:v>195</c:v>
                </c:pt>
                <c:pt idx="14">
                  <c:v>366</c:v>
                </c:pt>
                <c:pt idx="15">
                  <c:v>189</c:v>
                </c:pt>
                <c:pt idx="16">
                  <c:v>198</c:v>
                </c:pt>
                <c:pt idx="17">
                  <c:v>162</c:v>
                </c:pt>
                <c:pt idx="18">
                  <c:v>270</c:v>
                </c:pt>
                <c:pt idx="19">
                  <c:v>273</c:v>
                </c:pt>
                <c:pt idx="20">
                  <c:v>282</c:v>
                </c:pt>
                <c:pt idx="21">
                  <c:v>225</c:v>
                </c:pt>
                <c:pt idx="22">
                  <c:v>402</c:v>
                </c:pt>
                <c:pt idx="23">
                  <c:v>240</c:v>
                </c:pt>
                <c:pt idx="24">
                  <c:v>303</c:v>
                </c:pt>
                <c:pt idx="25">
                  <c:v>234</c:v>
                </c:pt>
                <c:pt idx="26">
                  <c:v>204</c:v>
                </c:pt>
                <c:pt idx="27">
                  <c:v>270</c:v>
                </c:pt>
                <c:pt idx="28">
                  <c:v>462</c:v>
                </c:pt>
                <c:pt idx="29">
                  <c:v>195</c:v>
                </c:pt>
                <c:pt idx="30">
                  <c:v>405</c:v>
                </c:pt>
                <c:pt idx="31">
                  <c:v>192</c:v>
                </c:pt>
                <c:pt idx="32">
                  <c:v>369</c:v>
                </c:pt>
                <c:pt idx="33">
                  <c:v>195</c:v>
                </c:pt>
                <c:pt idx="34">
                  <c:v>219</c:v>
                </c:pt>
                <c:pt idx="35">
                  <c:v>168</c:v>
                </c:pt>
                <c:pt idx="36">
                  <c:v>414</c:v>
                </c:pt>
                <c:pt idx="37">
                  <c:v>186</c:v>
                </c:pt>
                <c:pt idx="38">
                  <c:v>447</c:v>
                </c:pt>
                <c:pt idx="39">
                  <c:v>261</c:v>
                </c:pt>
                <c:pt idx="40">
                  <c:v>177</c:v>
                </c:pt>
                <c:pt idx="41">
                  <c:v>255</c:v>
                </c:pt>
                <c:pt idx="42">
                  <c:v>234</c:v>
                </c:pt>
                <c:pt idx="43">
                  <c:v>342</c:v>
                </c:pt>
                <c:pt idx="44">
                  <c:v>204</c:v>
                </c:pt>
                <c:pt idx="45">
                  <c:v>177</c:v>
                </c:pt>
                <c:pt idx="46">
                  <c:v>363</c:v>
                </c:pt>
                <c:pt idx="47">
                  <c:v>246</c:v>
                </c:pt>
                <c:pt idx="48">
                  <c:v>300</c:v>
                </c:pt>
                <c:pt idx="49">
                  <c:v>189</c:v>
                </c:pt>
                <c:pt idx="50">
                  <c:v>378</c:v>
                </c:pt>
                <c:pt idx="51">
                  <c:v>246</c:v>
                </c:pt>
                <c:pt idx="52">
                  <c:v>225</c:v>
                </c:pt>
                <c:pt idx="53">
                  <c:v>306</c:v>
                </c:pt>
                <c:pt idx="54">
                  <c:v>348</c:v>
                </c:pt>
                <c:pt idx="55">
                  <c:v>366</c:v>
                </c:pt>
                <c:pt idx="56">
                  <c:v>288</c:v>
                </c:pt>
                <c:pt idx="57">
                  <c:v>459</c:v>
                </c:pt>
                <c:pt idx="58">
                  <c:v>312</c:v>
                </c:pt>
                <c:pt idx="59">
                  <c:v>213</c:v>
                </c:pt>
                <c:pt idx="60">
                  <c:v>165</c:v>
                </c:pt>
                <c:pt idx="61">
                  <c:v>159</c:v>
                </c:pt>
                <c:pt idx="62">
                  <c:v>279</c:v>
                </c:pt>
                <c:pt idx="63">
                  <c:v>177</c:v>
                </c:pt>
                <c:pt idx="64">
                  <c:v>306</c:v>
                </c:pt>
                <c:pt idx="65">
                  <c:v>171</c:v>
                </c:pt>
                <c:pt idx="66">
                  <c:v>162</c:v>
                </c:pt>
                <c:pt idx="67">
                  <c:v>207</c:v>
                </c:pt>
                <c:pt idx="68">
                  <c:v>156</c:v>
                </c:pt>
                <c:pt idx="69">
                  <c:v>348</c:v>
                </c:pt>
                <c:pt idx="70">
                  <c:v>153</c:v>
                </c:pt>
                <c:pt idx="71">
                  <c:v>201</c:v>
                </c:pt>
                <c:pt idx="72">
                  <c:v>246</c:v>
                </c:pt>
                <c:pt idx="73">
                  <c:v>357</c:v>
                </c:pt>
                <c:pt idx="74">
                  <c:v>333</c:v>
                </c:pt>
                <c:pt idx="75">
                  <c:v>240</c:v>
                </c:pt>
                <c:pt idx="76">
                  <c:v>324</c:v>
                </c:pt>
                <c:pt idx="77">
                  <c:v>174</c:v>
                </c:pt>
                <c:pt idx="78">
                  <c:v>300</c:v>
                </c:pt>
                <c:pt idx="79">
                  <c:v>246</c:v>
                </c:pt>
                <c:pt idx="80">
                  <c:v>279</c:v>
                </c:pt>
                <c:pt idx="81">
                  <c:v>189</c:v>
                </c:pt>
                <c:pt idx="82">
                  <c:v>171</c:v>
                </c:pt>
                <c:pt idx="83">
                  <c:v>156</c:v>
                </c:pt>
                <c:pt idx="84">
                  <c:v>210</c:v>
                </c:pt>
                <c:pt idx="85">
                  <c:v>156</c:v>
                </c:pt>
                <c:pt idx="86">
                  <c:v>288</c:v>
                </c:pt>
                <c:pt idx="87">
                  <c:v>204</c:v>
                </c:pt>
                <c:pt idx="88">
                  <c:v>168</c:v>
                </c:pt>
                <c:pt idx="89">
                  <c:v>252</c:v>
                </c:pt>
                <c:pt idx="90">
                  <c:v>525</c:v>
                </c:pt>
                <c:pt idx="91">
                  <c:v>297</c:v>
                </c:pt>
                <c:pt idx="92">
                  <c:v>258</c:v>
                </c:pt>
                <c:pt idx="93">
                  <c:v>174</c:v>
                </c:pt>
                <c:pt idx="94">
                  <c:v>237</c:v>
                </c:pt>
                <c:pt idx="95">
                  <c:v>183</c:v>
                </c:pt>
                <c:pt idx="96">
                  <c:v>225</c:v>
                </c:pt>
                <c:pt idx="97">
                  <c:v>303</c:v>
                </c:pt>
                <c:pt idx="98">
                  <c:v>276</c:v>
                </c:pt>
                <c:pt idx="99">
                  <c:v>459</c:v>
                </c:pt>
                <c:pt idx="100">
                  <c:v>252</c:v>
                </c:pt>
                <c:pt idx="101">
                  <c:v>372</c:v>
                </c:pt>
                <c:pt idx="102">
                  <c:v>183</c:v>
                </c:pt>
                <c:pt idx="103">
                  <c:v>276</c:v>
                </c:pt>
                <c:pt idx="104">
                  <c:v>201</c:v>
                </c:pt>
                <c:pt idx="105">
                  <c:v>327</c:v>
                </c:pt>
                <c:pt idx="106">
                  <c:v>216</c:v>
                </c:pt>
                <c:pt idx="107">
                  <c:v>213</c:v>
                </c:pt>
                <c:pt idx="108">
                  <c:v>504</c:v>
                </c:pt>
                <c:pt idx="109">
                  <c:v>243</c:v>
                </c:pt>
                <c:pt idx="110">
                  <c:v>174</c:v>
                </c:pt>
                <c:pt idx="111">
                  <c:v>456</c:v>
                </c:pt>
                <c:pt idx="112">
                  <c:v>492</c:v>
                </c:pt>
                <c:pt idx="113">
                  <c:v>303</c:v>
                </c:pt>
                <c:pt idx="114">
                  <c:v>189</c:v>
                </c:pt>
                <c:pt idx="115">
                  <c:v>432</c:v>
                </c:pt>
                <c:pt idx="116">
                  <c:v>210</c:v>
                </c:pt>
                <c:pt idx="117">
                  <c:v>162</c:v>
                </c:pt>
                <c:pt idx="118">
                  <c:v>288</c:v>
                </c:pt>
                <c:pt idx="119">
                  <c:v>207</c:v>
                </c:pt>
                <c:pt idx="120">
                  <c:v>201</c:v>
                </c:pt>
                <c:pt idx="121">
                  <c:v>312</c:v>
                </c:pt>
                <c:pt idx="122">
                  <c:v>231</c:v>
                </c:pt>
                <c:pt idx="123">
                  <c:v>204</c:v>
                </c:pt>
                <c:pt idx="124">
                  <c:v>234</c:v>
                </c:pt>
                <c:pt idx="125">
                  <c:v>201</c:v>
                </c:pt>
                <c:pt idx="126">
                  <c:v>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7-4BDB-BFD8-CD15A7026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594640"/>
        <c:axId val="1925595056"/>
      </c:scatterChart>
      <c:valAx>
        <c:axId val="192559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5056"/>
        <c:crosses val="autoZero"/>
        <c:crossBetween val="midCat"/>
      </c:valAx>
      <c:valAx>
        <c:axId val="19255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5946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935EC35C-1065-430B-9406-72396AC9E38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</xdr:row>
      <xdr:rowOff>85725</xdr:rowOff>
    </xdr:from>
    <xdr:to>
      <xdr:col>12</xdr:col>
      <xdr:colOff>219075</xdr:colOff>
      <xdr:row>16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CCB44F-AF53-4B16-91B7-1B5981547D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85725</xdr:colOff>
      <xdr:row>17</xdr:row>
      <xdr:rowOff>66675</xdr:rowOff>
    </xdr:from>
    <xdr:to>
      <xdr:col>12</xdr:col>
      <xdr:colOff>190500</xdr:colOff>
      <xdr:row>31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38F8772-8FA5-4E9B-A250-130A9B7DEA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25" y="3609975"/>
              <a:ext cx="69342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59550</xdr:colOff>
      <xdr:row>4</xdr:row>
      <xdr:rowOff>185776</xdr:rowOff>
    </xdr:from>
    <xdr:to>
      <xdr:col>9</xdr:col>
      <xdr:colOff>273824</xdr:colOff>
      <xdr:row>6</xdr:row>
      <xdr:rowOff>19050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73435E9D-0831-4869-8005-E99F02A8B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870050" y="757276"/>
          <a:ext cx="214274" cy="214274"/>
        </a:xfrm>
        <a:prstGeom prst="rect">
          <a:avLst/>
        </a:prstGeom>
      </xdr:spPr>
    </xdr:pic>
    <xdr:clientData/>
  </xdr:twoCellAnchor>
  <xdr:twoCellAnchor editAs="oneCell">
    <xdr:from>
      <xdr:col>9</xdr:col>
      <xdr:colOff>333376</xdr:colOff>
      <xdr:row>4</xdr:row>
      <xdr:rowOff>180977</xdr:rowOff>
    </xdr:from>
    <xdr:to>
      <xdr:col>9</xdr:col>
      <xdr:colOff>552450</xdr:colOff>
      <xdr:row>6</xdr:row>
      <xdr:rowOff>19051</xdr:rowOff>
    </xdr:to>
    <xdr:pic>
      <xdr:nvPicPr>
        <xdr:cNvPr id="5" name="Graphic 4" descr="Close with solid fill">
          <a:extLst>
            <a:ext uri="{FF2B5EF4-FFF2-40B4-BE49-F238E27FC236}">
              <a16:creationId xmlns:a16="http://schemas.microsoft.com/office/drawing/2014/main" id="{967F6526-3A08-447C-86BA-67F3F0878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143876" y="752477"/>
          <a:ext cx="219074" cy="219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981075</xdr:colOff>
      <xdr:row>1</xdr:row>
      <xdr:rowOff>171451</xdr:rowOff>
    </xdr:from>
    <xdr:to>
      <xdr:col>9</xdr:col>
      <xdr:colOff>238125</xdr:colOff>
      <xdr:row>3</xdr:row>
      <xdr:rowOff>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B433E53-0F32-3A3C-2337-8AF7E5A99165}"/>
            </a:ext>
          </a:extLst>
        </xdr:cNvPr>
        <xdr:cNvSpPr/>
      </xdr:nvSpPr>
      <xdr:spPr>
        <a:xfrm>
          <a:off x="5715000" y="723901"/>
          <a:ext cx="2847975" cy="3238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kern="1200">
              <a:solidFill>
                <a:schemeClr val="tx1"/>
              </a:solidFill>
            </a:rPr>
            <a:t>Pick a country &gt;&gt;&gt;</a:t>
          </a:r>
        </a:p>
      </xdr:txBody>
    </xdr:sp>
    <xdr:clientData/>
  </xdr:twoCellAnchor>
  <xdr:oneCellAnchor>
    <xdr:from>
      <xdr:col>8</xdr:col>
      <xdr:colOff>466725</xdr:colOff>
      <xdr:row>14</xdr:row>
      <xdr:rowOff>104775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1085395-21B0-CA36-342F-C40E658B6CAA}"/>
            </a:ext>
          </a:extLst>
        </xdr:cNvPr>
        <xdr:cNvSpPr txBox="1"/>
      </xdr:nvSpPr>
      <xdr:spPr>
        <a:xfrm>
          <a:off x="8181975" y="3133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kern="1200"/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282.450921990741" createdVersion="7" refreshedVersion="7" minRefreshableVersion="3" recordCount="300" xr:uid="{99601280-9E0D-4003-A6FA-5777888A8F90}">
  <cacheSource type="worksheet">
    <worksheetSource name="chocolates"/>
  </cacheSource>
  <cacheFields count="5">
    <cacheField name="Sales Person" numFmtId="0">
      <sharedItems/>
    </cacheField>
    <cacheField name="Geography" numFmtId="0">
      <sharedItems count="6">
        <s v="Canada"/>
        <s v="Australia"/>
        <s v="India"/>
        <s v="UK"/>
        <s v="New Zealand"/>
        <s v="USA"/>
      </sharedItems>
    </cacheField>
    <cacheField name="Product" numFmtId="0">
      <sharedItems/>
    </cacheField>
    <cacheField name="Amount" numFmtId="6">
      <sharedItems containsSemiMixedTypes="0" containsString="0" containsNumber="1" containsInteger="1" minValue="0" maxValue="16184"/>
    </cacheField>
    <cacheField name="Units" numFmtId="3">
      <sharedItems containsSemiMixedTypes="0" containsString="0" containsNumber="1" containsInteger="1" minValue="0" maxValue="5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56363194447" backgroundQuery="1" createdVersion="7" refreshedVersion="8" minRefreshableVersion="3" recordCount="0" supportSubquery="1" supportAdvancedDrill="1" xr:uid="{1A31C9B5-38CE-445B-8BC8-21F46F1C3184}">
  <cacheSource type="external" connectionId="1"/>
  <cacheFields count="4">
    <cacheField name="[chocolates].[Product].[Product]" caption="Product" numFmtId="0" hierarchy="2" level="1">
      <sharedItems count="5">
        <s v="85% Dark Bars"/>
        <s v="After Nines"/>
        <s v="Baker's Choco Chips"/>
        <s v="Peanut Butter Cubes"/>
        <s v="Raspberry Choco"/>
      </sharedItems>
    </cacheField>
    <cacheField name="[Measures].[sales per unit]" caption="sales per unit" numFmtId="0" hierarchy="30" level="32767"/>
    <cacheField name="[Measures].[Sum of Amount]" caption="Sum of Amount" numFmtId="0" hierarchy="19" level="32767"/>
    <cacheField name="[Measures].[Sum of Units]" caption="Sum of Units" numFmtId="0" hierarchy="20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2" memberValueDatatype="130" unbalanced="0">
      <fieldsUsage count="2">
        <fieldUsage x="-1"/>
        <fieldUsage x="0"/>
      </fieldsUsage>
    </cacheHierarchy>
    <cacheHierarchy uniqueName="[chocolates].[Amount]" caption="Amount" attribute="1" defaultMemberUniqueName="[chocolates].[Amount].[All]" allUniqueName="[chocolates].[Amount].[All]" dimensionUniqueName="[chocolates]" displayFolder="" count="2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2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0" memberValueDatatype="130" unbalanced="0"/>
    <cacheHierarchy uniqueName="[Table3].[Geography]" caption="Geography" attribute="1" defaultMemberUniqueName="[Table3].[Geography].[All]" allUniqueName="[Table3].[Geography].[All]" dimensionUniqueName="[Table3]" displayFolder="" count="0" memberValueDatatype="130" unbalanced="0"/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 oneField="1">
      <fieldsUsage count="1">
        <fieldUsage x="1"/>
      </fieldsUsage>
    </cacheHierarchy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gopi waghmare" refreshedDate="45672.462947569446" backgroundQuery="1" createdVersion="7" refreshedVersion="8" minRefreshableVersion="3" recordCount="0" supportSubquery="1" supportAdvancedDrill="1" xr:uid="{7177A81C-39BD-4C17-841F-BEABC56B05BF}">
  <cacheSource type="external" connectionId="1"/>
  <cacheFields count="3">
    <cacheField name="[Table3].[Geography].[Geography]" caption="Geography" numFmtId="0" hierarchy="8" level="1">
      <sharedItems count="6">
        <s v="Australia"/>
        <s v="Canada"/>
        <s v="India"/>
        <s v="New Zealand"/>
        <s v="UK"/>
        <s v="USA"/>
      </sharedItems>
    </cacheField>
    <cacheField name="[Table3].[Sales Person].[Sales Person]" caption="Sales Person" numFmtId="0" hierarchy="7" level="1">
      <sharedItems count="5">
        <s v="Ches Bonnell"/>
        <s v="Carla Molina"/>
        <s v="Gigi Bohling"/>
        <s v="Barr Faughny"/>
        <s v="Ram Mahesh"/>
      </sharedItems>
    </cacheField>
    <cacheField name="[Measures].[Sum of Amount 2]" caption="Sum of Amount 2" numFmtId="0" hierarchy="23" level="32767"/>
  </cacheFields>
  <cacheHierarchies count="36">
    <cacheHierarchy uniqueName="[chocolates].[Sales Person]" caption="Sales Person" attribute="1" defaultMemberUniqueName="[chocolates].[Sales Person].[All]" allUniqueName="[chocolates].[Sales Person].[All]" dimensionUniqueName="[chocolates]" displayFolder="" count="0" memberValueDatatype="130" unbalanced="0"/>
    <cacheHierarchy uniqueName="[chocolates].[Geography]" caption="Geography" attribute="1" defaultMemberUniqueName="[chocolates].[Geography].[All]" allUniqueName="[chocolates].[Geography].[All]" dimensionUniqueName="[chocolates]" displayFolder="" count="0" memberValueDatatype="130" unbalanced="0"/>
    <cacheHierarchy uniqueName="[chocolates].[Product]" caption="Product" attribute="1" defaultMemberUniqueName="[chocolates].[Product].[All]" allUniqueName="[chocolates].[Product].[All]" dimensionUniqueName="[chocolates]" displayFolder="" count="0" memberValueDatatype="130" unbalanced="0"/>
    <cacheHierarchy uniqueName="[chocolates].[Amount]" caption="Amount" attribute="1" defaultMemberUniqueName="[chocolates].[Amount].[All]" allUniqueName="[chocolates].[Amount].[All]" dimensionUniqueName="[chocolates]" displayFolder="" count="0" memberValueDatatype="20" unbalanced="0"/>
    <cacheHierarchy uniqueName="[chocolates].[Units]" caption="Units" attribute="1" defaultMemberUniqueName="[chocolates].[Units].[All]" allUniqueName="[chocolates].[Units].[All]" dimensionUniqueName="[chocolates]" displayFolder="" count="0" memberValueDatatype="20" unbalanced="0"/>
    <cacheHierarchy uniqueName="[products].[Product]" caption="Product" attribute="1" defaultMemberUniqueName="[products].[Product].[All]" allUniqueName="[products].[Product].[All]" dimensionUniqueName="[products]" displayFolder="" count="0" memberValueDatatype="130" unbalanced="0"/>
    <cacheHierarchy uniqueName="[products].[Cost per unit]" caption="Cost per unit" attribute="1" defaultMemberUniqueName="[products].[Cost per unit].[All]" allUniqueName="[products].[Cost per unit].[All]" dimensionUniqueName="[products]" displayFolder="" count="0" memberValueDatatype="5" unbalanced="0"/>
    <cacheHierarchy uniqueName="[Table3].[Sales Person]" caption="Sales Person" attribute="1" defaultMemberUniqueName="[Table3].[Sales Person].[All]" allUniqueName="[Table3].[Sales Person].[All]" dimensionUniqueName="[Table3]" displayFolder="" count="2" memberValueDatatype="130" unbalanced="0">
      <fieldsUsage count="2">
        <fieldUsage x="-1"/>
        <fieldUsage x="1"/>
      </fieldsUsage>
    </cacheHierarchy>
    <cacheHierarchy uniqueName="[Table3].[Geography]" caption="Geography" attribute="1" defaultMemberUniqueName="[Table3].[Geography].[All]" allUniqueName="[Table3].[Geography].[All]" dimensionUniqueName="[Table3]" displayFolder="" count="2" memberValueDatatype="130" unbalanced="0">
      <fieldsUsage count="2">
        <fieldUsage x="-1"/>
        <fieldUsage x="0"/>
      </fieldsUsage>
    </cacheHierarchy>
    <cacheHierarchy uniqueName="[Table3].[Product]" caption="Product" attribute="1" defaultMemberUniqueName="[Table3].[Product].[All]" allUniqueName="[Table3].[Product].[All]" dimensionUniqueName="[Table3]" displayFolder="" count="0" memberValueDatatype="130" unbalanced="0"/>
    <cacheHierarchy uniqueName="[Table3].[Amount]" caption="Amount" attribute="1" defaultMemberUniqueName="[Table3].[Amount].[All]" allUniqueName="[Table3].[Amount].[All]" dimensionUniqueName="[Table3]" displayFolder="" count="0" memberValueDatatype="20" unbalanced="0"/>
    <cacheHierarchy uniqueName="[Table3].[Units]" caption="Units" attribute="1" defaultMemberUniqueName="[Table3].[Units].[All]" allUniqueName="[Table3].[Units].[All]" dimensionUniqueName="[Table3]" displayFolder="" count="0" memberValueDatatype="20" unbalanced="0"/>
    <cacheHierarchy uniqueName="[Table5].[Sales Person]" caption="Sales Person" attribute="1" defaultMemberUniqueName="[Table5].[Sales Person].[All]" allUniqueName="[Table5].[Sales Person].[All]" dimensionUniqueName="[Table5]" displayFolder="" count="0" memberValueDatatype="130" unbalanced="0"/>
    <cacheHierarchy uniqueName="[Table5].[Geography]" caption="Geography" attribute="1" defaultMemberUniqueName="[Table5].[Geography].[All]" allUniqueName="[Table5].[Geography].[All]" dimensionUniqueName="[Table5]" displayFolder="" count="0" memberValueDatatype="130" unbalanced="0"/>
    <cacheHierarchy uniqueName="[Table5].[Product]" caption="Product" attribute="1" defaultMemberUniqueName="[Table5].[Product].[All]" allUniqueName="[Table5].[Product].[All]" dimensionUniqueName="[Table5]" displayFolder="" count="0" memberValueDatatype="130" unbalanced="0"/>
    <cacheHierarchy uniqueName="[Table5].[Amount]" caption="Amount" attribute="1" defaultMemberUniqueName="[Table5].[Amount].[All]" allUniqueName="[Table5].[Amount].[All]" dimensionUniqueName="[Table5]" displayFolder="" count="0" memberValueDatatype="20" unbalanced="0"/>
    <cacheHierarchy uniqueName="[Table5].[Units]" caption="Units" attribute="1" defaultMemberUniqueName="[Table5].[Units].[All]" allUniqueName="[Table5].[Units].[All]" dimensionUniqueName="[Table5]" displayFolder="" count="0" memberValueDatatype="20" unbalanced="0"/>
    <cacheHierarchy uniqueName="[Table5].[cost per unit]" caption="cost per unit" attribute="1" defaultMemberUniqueName="[Table5].[cost per unit].[All]" allUniqueName="[Table5].[cost per unit].[All]" dimensionUniqueName="[Table5]" displayFolder="" count="0" memberValueDatatype="5" unbalanced="0"/>
    <cacheHierarchy uniqueName="[Table5].[cost]" caption="cost" attribute="1" defaultMemberUniqueName="[Table5].[cost].[All]" allUniqueName="[Table5].[cost].[All]" dimensionUniqueName="[Table5]" displayFolder="" count="0" memberValueDatatype="5" unbalanced="0"/>
    <cacheHierarchy uniqueName="[Measures].[Sum of Amount]" caption="Sum of Amount" measure="1" displayFolder="" measureGroup="chocolates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Sum of Units]" caption="Sum of Units" measure="1" displayFolder="" measureGroup="chocolates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Count of Sales Person]" caption="Count of Sales Person" measure="1" displayFolder="" measureGroup="chocolates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Sales Person 2]" caption="Count of Sales Person 2" measure="1" displayFolder="" measureGroup="Table3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Amount 2]" caption="Sum of Amount 2" measure="1" displayFolder="" measureGroup="Table3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Cost per unit]" caption="Sum of Cost per unit" measure="1" displayFolder="" measureGroup="products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roduct]" caption="Count of Product" measure="1" displayFolder="" measureGroup="products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cost per unit 2]" caption="Sum of cost per unit 2" measure="1" displayFolder="" measureGroup="Table5" count="0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Units 2]" caption="Sum of Units 2" measure="1" displayFolder="" measureGroup="Table5" count="0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cost]" caption="Sum of cost" measure="1" displayFolder="" measureGroup="Table5" count="0">
      <extLst>
        <ext xmlns:x15="http://schemas.microsoft.com/office/spreadsheetml/2010/11/main" uri="{B97F6D7D-B522-45F9-BDA1-12C45D357490}">
          <x15:cacheHierarchy aggregatedColumn="18"/>
        </ext>
      </extLst>
    </cacheHierarchy>
    <cacheHierarchy uniqueName="[Measures].[Sum of Amount 3]" caption="Sum of Amount 3" measure="1" displayFolder="" measureGroup="Table5" count="0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ales per unit]" caption="sales per unit" measure="1" displayFolder="" measureGroup="chocolates" count="0"/>
    <cacheHierarchy uniqueName="[Measures].[__XL_Count chocolates]" caption="__XL_Count chocolates" measure="1" displayFolder="" measureGroup="chocolates" count="0" hidden="1"/>
    <cacheHierarchy uniqueName="[Measures].[__XL_Count products]" caption="__XL_Count products" measure="1" displayFolder="" measureGroup="products" count="0" hidden="1"/>
    <cacheHierarchy uniqueName="[Measures].[__XL_Count Table3]" caption="__XL_Count Table3" measure="1" displayFolder="" measureGroup="Table3" count="0" hidden="1"/>
    <cacheHierarchy uniqueName="[Measures].[__XL_Count Table5]" caption="__XL_Count Table5" measure="1" displayFolder="" measureGroup="Table5" count="0" hidden="1"/>
    <cacheHierarchy uniqueName="[Measures].[__No measures defined]" caption="__No measures defined" measure="1" displayFolder="" count="0" hidden="1"/>
  </cacheHierarchies>
  <kpis count="0"/>
  <dimensions count="5">
    <dimension name="chocolates" uniqueName="[chocolates]" caption="chocolates"/>
    <dimension measure="1" name="Measures" uniqueName="[Measures]" caption="Measures"/>
    <dimension name="products" uniqueName="[products]" caption="products"/>
    <dimension name="Table3" uniqueName="[Table3]" caption="Table3"/>
    <dimension name="Table5" uniqueName="[Table5]" caption="Table5"/>
  </dimensions>
  <measureGroups count="4">
    <measureGroup name="chocolates" caption="chocolates"/>
    <measureGroup name="products" caption="products"/>
    <measureGroup name="Table3" caption="Table3"/>
    <measureGroup name="Table5" caption="Table5"/>
  </measureGroups>
  <maps count="4">
    <map measureGroup="0" dimension="0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Gigi Bohling"/>
    <x v="0"/>
    <s v="Mint Chip Choco"/>
    <n v="16184"/>
    <n v="39"/>
  </r>
  <r>
    <s v="Oby Sorrel"/>
    <x v="1"/>
    <s v="50% Dark Bites"/>
    <n v="5586"/>
    <n v="525"/>
  </r>
  <r>
    <s v="Husein Augar"/>
    <x v="2"/>
    <s v="Caramel Stuffed Bars"/>
    <n v="14329"/>
    <n v="150"/>
  </r>
  <r>
    <s v="Barr Faughny"/>
    <x v="0"/>
    <s v="Organic Choco Syrup"/>
    <n v="798"/>
    <n v="519"/>
  </r>
  <r>
    <s v="Oby Sorrel"/>
    <x v="3"/>
    <s v="Peanut Butter Cubes"/>
    <n v="12950"/>
    <n v="30"/>
  </r>
  <r>
    <s v="Brien Boise"/>
    <x v="1"/>
    <s v="Milk Bars"/>
    <n v="819"/>
    <n v="510"/>
  </r>
  <r>
    <s v="Barr Faughny"/>
    <x v="4"/>
    <s v="Drinking Coco"/>
    <n v="11571"/>
    <n v="138"/>
  </r>
  <r>
    <s v="Gunar Cockshoot"/>
    <x v="2"/>
    <s v="Choco Coated Almonds"/>
    <n v="7777"/>
    <n v="504"/>
  </r>
  <r>
    <s v="Barr Faughny"/>
    <x v="0"/>
    <s v="Mint Chip Choco"/>
    <n v="11417"/>
    <n v="21"/>
  </r>
  <r>
    <s v="Husein Augar"/>
    <x v="2"/>
    <s v="Orange Choco"/>
    <n v="8463"/>
    <n v="492"/>
  </r>
  <r>
    <s v="Carla Molina"/>
    <x v="0"/>
    <s v="Choco Coated Almonds"/>
    <n v="10304"/>
    <n v="84"/>
  </r>
  <r>
    <s v="Barr Faughny"/>
    <x v="3"/>
    <s v="White Choc"/>
    <n v="1785"/>
    <n v="462"/>
  </r>
  <r>
    <s v="Curtice Advani"/>
    <x v="0"/>
    <s v="Almond Choco"/>
    <n v="10073"/>
    <n v="120"/>
  </r>
  <r>
    <s v="Brien Boise"/>
    <x v="5"/>
    <s v="Choco Coated Almonds"/>
    <n v="6706"/>
    <n v="459"/>
  </r>
  <r>
    <s v="Curtice Advani"/>
    <x v="4"/>
    <s v="Caramel Stuffed Bars"/>
    <n v="3556"/>
    <n v="459"/>
  </r>
  <r>
    <s v="Ram Mahesh"/>
    <x v="0"/>
    <s v="Peanut Butter Cubes"/>
    <n v="9772"/>
    <n v="90"/>
  </r>
  <r>
    <s v="Brien Boise"/>
    <x v="4"/>
    <s v="Raspberry Choco"/>
    <n v="9709"/>
    <n v="30"/>
  </r>
  <r>
    <s v="Brien Boise"/>
    <x v="3"/>
    <s v="Drinking Coco"/>
    <n v="9660"/>
    <n v="27"/>
  </r>
  <r>
    <s v="Curtice Advani"/>
    <x v="2"/>
    <s v="Baker's Choco Chips"/>
    <n v="8008"/>
    <n v="456"/>
  </r>
  <r>
    <s v="Husein Augar"/>
    <x v="1"/>
    <s v="Peanut Butter Cubes"/>
    <n v="9506"/>
    <n v="87"/>
  </r>
  <r>
    <s v="Ram Mahesh"/>
    <x v="5"/>
    <s v="70% Dark Bites"/>
    <n v="2275"/>
    <n v="447"/>
  </r>
  <r>
    <s v="Gunar Cockshoot"/>
    <x v="0"/>
    <s v="Mint Chip Choco"/>
    <n v="9198"/>
    <n v="36"/>
  </r>
  <r>
    <s v="Husein Augar"/>
    <x v="0"/>
    <s v="70% Dark Bites"/>
    <n v="9051"/>
    <n v="57"/>
  </r>
  <r>
    <s v="Ram Mahesh"/>
    <x v="4"/>
    <s v="Manuka Honey Choco"/>
    <n v="9002"/>
    <n v="72"/>
  </r>
  <r>
    <s v="Ram Mahesh"/>
    <x v="5"/>
    <s v="Peanut Butter Cubes"/>
    <n v="8869"/>
    <n v="432"/>
  </r>
  <r>
    <s v="Curtice Advani"/>
    <x v="3"/>
    <s v="White Choc"/>
    <n v="2100"/>
    <n v="414"/>
  </r>
  <r>
    <s v="Curtice Advani"/>
    <x v="4"/>
    <s v="Mint Chip Choco"/>
    <n v="1904"/>
    <n v="405"/>
  </r>
  <r>
    <s v="Curtice Advani"/>
    <x v="5"/>
    <s v="Almond Choco"/>
    <n v="1302"/>
    <n v="402"/>
  </r>
  <r>
    <s v="Gigi Bohling"/>
    <x v="4"/>
    <s v="White Choc"/>
    <n v="8813"/>
    <n v="21"/>
  </r>
  <r>
    <s v="Curtice Advani"/>
    <x v="3"/>
    <s v="Manuka Honey Choco"/>
    <n v="3052"/>
    <n v="378"/>
  </r>
  <r>
    <s v="Ches Bonnell"/>
    <x v="0"/>
    <s v="After Nines"/>
    <n v="8435"/>
    <n v="42"/>
  </r>
  <r>
    <s v="Barr Faughny"/>
    <x v="0"/>
    <s v="Manuka Honey Choco"/>
    <n v="8211"/>
    <n v="75"/>
  </r>
  <r>
    <s v="Husein Augar"/>
    <x v="2"/>
    <s v="Fruit &amp; Nut Bars"/>
    <n v="8155"/>
    <n v="90"/>
  </r>
  <r>
    <s v="Ram Mahesh"/>
    <x v="5"/>
    <s v="After Nines"/>
    <n v="6853"/>
    <n v="372"/>
  </r>
  <r>
    <s v="Ches Bonnell"/>
    <x v="2"/>
    <s v="50% Dark Bites"/>
    <n v="1932"/>
    <n v="369"/>
  </r>
  <r>
    <s v="Curtice Advani"/>
    <x v="2"/>
    <s v="70% Dark Bites"/>
    <n v="3402"/>
    <n v="366"/>
  </r>
  <r>
    <s v="Barr Faughny"/>
    <x v="3"/>
    <s v="Organic Choco Syrup"/>
    <n v="7812"/>
    <n v="81"/>
  </r>
  <r>
    <s v="Gunar Cockshoot"/>
    <x v="4"/>
    <s v="Almond Choco"/>
    <n v="938"/>
    <n v="366"/>
  </r>
  <r>
    <s v="Ches Bonnell"/>
    <x v="2"/>
    <s v="Eclairs"/>
    <n v="7777"/>
    <n v="39"/>
  </r>
  <r>
    <s v="Curtice Advani"/>
    <x v="4"/>
    <s v="Smooth Sliky Salty"/>
    <n v="7693"/>
    <n v="87"/>
  </r>
  <r>
    <s v="Ram Mahesh"/>
    <x v="4"/>
    <s v="99% Dark &amp; Pure"/>
    <n v="7693"/>
    <n v="21"/>
  </r>
  <r>
    <s v="Brien Boise"/>
    <x v="5"/>
    <s v="Orange Choco"/>
    <n v="2702"/>
    <n v="363"/>
  </r>
  <r>
    <s v="Barr Faughny"/>
    <x v="2"/>
    <s v="99% Dark &amp; Pure"/>
    <n v="7511"/>
    <n v="120"/>
  </r>
  <r>
    <s v="Gigi Bohling"/>
    <x v="1"/>
    <s v="White Choc"/>
    <n v="7483"/>
    <n v="45"/>
  </r>
  <r>
    <s v="Gigi Bohling"/>
    <x v="5"/>
    <s v="Manuka Honey Choco"/>
    <n v="4480"/>
    <n v="357"/>
  </r>
  <r>
    <s v="Curtice Advani"/>
    <x v="1"/>
    <s v="Spicy Special Slims"/>
    <n v="7322"/>
    <n v="36"/>
  </r>
  <r>
    <s v="Barr Faughny"/>
    <x v="1"/>
    <s v="Smooth Sliky Salty"/>
    <n v="4326"/>
    <n v="348"/>
  </r>
  <r>
    <s v="Gigi Bohling"/>
    <x v="0"/>
    <s v="Eclairs"/>
    <n v="3339"/>
    <n v="348"/>
  </r>
  <r>
    <s v="Husein Augar"/>
    <x v="4"/>
    <s v="Orange Choco"/>
    <n v="7273"/>
    <n v="96"/>
  </r>
  <r>
    <s v="Oby Sorrel"/>
    <x v="0"/>
    <s v="Manuka Honey Choco"/>
    <n v="2471"/>
    <n v="342"/>
  </r>
  <r>
    <s v="Gigi Bohling"/>
    <x v="1"/>
    <s v="Milk Bars"/>
    <n v="7189"/>
    <n v="54"/>
  </r>
  <r>
    <s v="Gigi Bohling"/>
    <x v="2"/>
    <s v="Orange Choco"/>
    <n v="15610"/>
    <n v="339"/>
  </r>
  <r>
    <s v="Gigi Bohling"/>
    <x v="2"/>
    <s v="Organic Choco Syrup"/>
    <n v="6986"/>
    <n v="21"/>
  </r>
  <r>
    <s v="Gigi Bohling"/>
    <x v="3"/>
    <s v="After Nines"/>
    <n v="6909"/>
    <n v="81"/>
  </r>
  <r>
    <s v="Oby Sorrel"/>
    <x v="1"/>
    <s v="Almond Choco"/>
    <n v="6860"/>
    <n v="126"/>
  </r>
  <r>
    <s v="Ches Bonnell"/>
    <x v="4"/>
    <s v="Mint Chip Choco"/>
    <n v="4487"/>
    <n v="333"/>
  </r>
  <r>
    <s v="Husein Augar"/>
    <x v="2"/>
    <s v="Spicy Special Slims"/>
    <n v="6832"/>
    <n v="27"/>
  </r>
  <r>
    <s v="Curtice Advani"/>
    <x v="4"/>
    <s v="Baker's Choco Chips"/>
    <n v="6818"/>
    <n v="6"/>
  </r>
  <r>
    <s v="Gunar Cockshoot"/>
    <x v="4"/>
    <s v="Caramel Stuffed Bars"/>
    <n v="7308"/>
    <n v="327"/>
  </r>
  <r>
    <s v="Ram Mahesh"/>
    <x v="2"/>
    <s v="Baker's Choco Chips"/>
    <n v="6748"/>
    <n v="48"/>
  </r>
  <r>
    <s v="Curtice Advani"/>
    <x v="2"/>
    <s v="Choco Coated Almonds"/>
    <n v="6734"/>
    <n v="123"/>
  </r>
  <r>
    <s v="Gunar Cockshoot"/>
    <x v="4"/>
    <s v="Manuka Honey Choco"/>
    <n v="4592"/>
    <n v="324"/>
  </r>
  <r>
    <s v="Ches Bonnell"/>
    <x v="1"/>
    <s v="70% Dark Bites"/>
    <n v="10129"/>
    <n v="312"/>
  </r>
  <r>
    <s v="Gunar Cockshoot"/>
    <x v="2"/>
    <s v="Caramel Stuffed Bars"/>
    <n v="3689"/>
    <n v="312"/>
  </r>
  <r>
    <s v="Carla Molina"/>
    <x v="0"/>
    <s v="Caramel Stuffed Bars"/>
    <n v="854"/>
    <n v="309"/>
  </r>
  <r>
    <s v="Husein Augar"/>
    <x v="3"/>
    <s v="85% Dark Bars"/>
    <n v="3920"/>
    <n v="306"/>
  </r>
  <r>
    <s v="Ches Bonnell"/>
    <x v="4"/>
    <s v="70% Dark Bites"/>
    <n v="6454"/>
    <n v="54"/>
  </r>
  <r>
    <s v="Brien Boise"/>
    <x v="1"/>
    <s v="Spicy Special Slims"/>
    <n v="6433"/>
    <n v="78"/>
  </r>
  <r>
    <s v="Carla Molina"/>
    <x v="4"/>
    <s v="85% Dark Bars"/>
    <n v="6398"/>
    <n v="102"/>
  </r>
  <r>
    <s v="Ches Bonnell"/>
    <x v="4"/>
    <s v="Peanut Butter Cubes"/>
    <n v="6391"/>
    <n v="48"/>
  </r>
  <r>
    <s v="Ram Mahesh"/>
    <x v="3"/>
    <s v="Organic Choco Syrup"/>
    <n v="6370"/>
    <n v="30"/>
  </r>
  <r>
    <s v="Gigi Bohling"/>
    <x v="0"/>
    <s v="Fruit &amp; Nut Bars"/>
    <n v="6314"/>
    <n v="15"/>
  </r>
  <r>
    <s v="Gunar Cockshoot"/>
    <x v="2"/>
    <s v="White Choc"/>
    <n v="6300"/>
    <n v="42"/>
  </r>
  <r>
    <s v="Brien Boise"/>
    <x v="4"/>
    <s v="Baker's Choco Chips"/>
    <n v="6279"/>
    <n v="45"/>
  </r>
  <r>
    <s v="Ram Mahesh"/>
    <x v="0"/>
    <s v="Organic Choco Syrup"/>
    <n v="3164"/>
    <n v="306"/>
  </r>
  <r>
    <s v="Gigi Bohling"/>
    <x v="0"/>
    <s v="Milk Bars"/>
    <n v="6146"/>
    <n v="63"/>
  </r>
  <r>
    <s v="Ram Mahesh"/>
    <x v="4"/>
    <s v="Organic Choco Syrup"/>
    <n v="6132"/>
    <n v="93"/>
  </r>
  <r>
    <s v="Ram Mahesh"/>
    <x v="1"/>
    <s v="Almond Choco"/>
    <n v="6125"/>
    <n v="102"/>
  </r>
  <r>
    <s v="Curtice Advani"/>
    <x v="0"/>
    <s v="Choco Coated Almonds"/>
    <n v="6118"/>
    <n v="9"/>
  </r>
  <r>
    <s v="Gunar Cockshoot"/>
    <x v="5"/>
    <s v="Peanut Butter Cubes"/>
    <n v="819"/>
    <n v="306"/>
  </r>
  <r>
    <s v="Gigi Bohling"/>
    <x v="0"/>
    <s v="Drinking Coco"/>
    <n v="6111"/>
    <n v="3"/>
  </r>
  <r>
    <s v="Curtice Advani"/>
    <x v="3"/>
    <s v="Eclairs"/>
    <n v="6048"/>
    <n v="27"/>
  </r>
  <r>
    <s v="Barr Faughny"/>
    <x v="3"/>
    <s v="Caramel Stuffed Bars"/>
    <n v="6027"/>
    <n v="144"/>
  </r>
  <r>
    <s v="Carla Molina"/>
    <x v="1"/>
    <s v="After Nines"/>
    <n v="5915"/>
    <n v="3"/>
  </r>
  <r>
    <s v="Ram Mahesh"/>
    <x v="3"/>
    <s v="After Nines"/>
    <n v="5817"/>
    <n v="12"/>
  </r>
  <r>
    <s v="Ram Mahesh"/>
    <x v="3"/>
    <s v="Raspberry Choco"/>
    <n v="5775"/>
    <n v="42"/>
  </r>
  <r>
    <s v="Gunar Cockshoot"/>
    <x v="1"/>
    <s v="Baker's Choco Chips"/>
    <n v="8841"/>
    <n v="303"/>
  </r>
  <r>
    <s v="Oby Sorrel"/>
    <x v="0"/>
    <s v="Choco Coated Almonds"/>
    <n v="6657"/>
    <n v="303"/>
  </r>
  <r>
    <s v="Barr Faughny"/>
    <x v="5"/>
    <s v="Eclairs"/>
    <n v="1589"/>
    <n v="303"/>
  </r>
  <r>
    <s v="Brien Boise"/>
    <x v="5"/>
    <s v="Organic Choco Syrup"/>
    <n v="4753"/>
    <n v="300"/>
  </r>
  <r>
    <s v="Ches Bonnell"/>
    <x v="0"/>
    <s v="99% Dark &amp; Pure"/>
    <n v="2870"/>
    <n v="300"/>
  </r>
  <r>
    <s v="Ram Mahesh"/>
    <x v="0"/>
    <s v="White Choc"/>
    <n v="5439"/>
    <n v="30"/>
  </r>
  <r>
    <s v="Ram Mahesh"/>
    <x v="1"/>
    <s v="Milk Bars"/>
    <n v="5670"/>
    <n v="297"/>
  </r>
  <r>
    <s v="Ches Bonnell"/>
    <x v="4"/>
    <s v="Baker's Choco Chips"/>
    <n v="5306"/>
    <n v="0"/>
  </r>
  <r>
    <s v="Gigi Bohling"/>
    <x v="3"/>
    <s v="Baker's Choco Chips"/>
    <n v="5236"/>
    <n v="51"/>
  </r>
  <r>
    <s v="Carla Molina"/>
    <x v="0"/>
    <s v="Drinking Coco"/>
    <n v="9632"/>
    <n v="288"/>
  </r>
  <r>
    <s v="Gigi Bohling"/>
    <x v="1"/>
    <s v="Choco Coated Almonds"/>
    <n v="5075"/>
    <n v="21"/>
  </r>
  <r>
    <s v="Ches Bonnell"/>
    <x v="5"/>
    <s v="Caramel Stuffed Bars"/>
    <n v="5194"/>
    <n v="288"/>
  </r>
  <r>
    <s v="Brien Boise"/>
    <x v="0"/>
    <s v="Fruit &amp; Nut Bars"/>
    <n v="5019"/>
    <n v="150"/>
  </r>
  <r>
    <s v="Brien Boise"/>
    <x v="2"/>
    <s v="Smooth Sliky Salty"/>
    <n v="3507"/>
    <n v="288"/>
  </r>
  <r>
    <s v="Gigi Bohling"/>
    <x v="4"/>
    <s v="50% Dark Bites"/>
    <n v="4991"/>
    <n v="12"/>
  </r>
  <r>
    <s v="Oby Sorrel"/>
    <x v="2"/>
    <s v="Baker's Choco Chips"/>
    <n v="4991"/>
    <n v="9"/>
  </r>
  <r>
    <s v="Oby Sorrel"/>
    <x v="4"/>
    <s v="Spicy Special Slims"/>
    <n v="245"/>
    <n v="288"/>
  </r>
  <r>
    <s v="Curtice Advani"/>
    <x v="1"/>
    <s v="Organic Choco Syrup"/>
    <n v="1134"/>
    <n v="282"/>
  </r>
  <r>
    <s v="Oby Sorrel"/>
    <x v="3"/>
    <s v="Spicy Special Slims"/>
    <n v="4858"/>
    <n v="279"/>
  </r>
  <r>
    <s v="Carla Molina"/>
    <x v="2"/>
    <s v="Fruit &amp; Nut Bars"/>
    <n v="4935"/>
    <n v="126"/>
  </r>
  <r>
    <s v="Oby Sorrel"/>
    <x v="5"/>
    <s v="Drinking Coco"/>
    <n v="3808"/>
    <n v="279"/>
  </r>
  <r>
    <s v="Barr Faughny"/>
    <x v="3"/>
    <s v="Raspberry Choco"/>
    <n v="4802"/>
    <n v="36"/>
  </r>
  <r>
    <s v="Curtice Advani"/>
    <x v="5"/>
    <s v="70% Dark Bites"/>
    <n v="4781"/>
    <n v="123"/>
  </r>
  <r>
    <s v="Carla Molina"/>
    <x v="5"/>
    <s v="Milk Bars"/>
    <n v="4760"/>
    <n v="69"/>
  </r>
  <r>
    <s v="Gunar Cockshoot"/>
    <x v="2"/>
    <s v="50% Dark Bites"/>
    <n v="7259"/>
    <n v="276"/>
  </r>
  <r>
    <s v="Gunar Cockshoot"/>
    <x v="5"/>
    <s v="Raspberry Choco"/>
    <n v="6657"/>
    <n v="276"/>
  </r>
  <r>
    <s v="Husein Augar"/>
    <x v="4"/>
    <s v="Manuka Honey Choco"/>
    <n v="1085"/>
    <n v="273"/>
  </r>
  <r>
    <s v="Oby Sorrel"/>
    <x v="4"/>
    <s v="Fruit &amp; Nut Bars"/>
    <n v="4683"/>
    <n v="30"/>
  </r>
  <r>
    <s v="Ches Bonnell"/>
    <x v="5"/>
    <s v="50% Dark Bites"/>
    <n v="4606"/>
    <n v="63"/>
  </r>
  <r>
    <s v="Ches Bonnell"/>
    <x v="1"/>
    <s v="Drinking Coco"/>
    <n v="1778"/>
    <n v="270"/>
  </r>
  <r>
    <s v="Curtice Advani"/>
    <x v="5"/>
    <s v="Orange Choco"/>
    <n v="1071"/>
    <n v="270"/>
  </r>
  <r>
    <s v="Ches Bonnell"/>
    <x v="4"/>
    <s v="Eclairs"/>
    <n v="4487"/>
    <n v="111"/>
  </r>
  <r>
    <s v="Oby Sorrel"/>
    <x v="0"/>
    <s v="Fruit &amp; Nut Bars"/>
    <n v="2317"/>
    <n v="261"/>
  </r>
  <r>
    <s v="Ches Bonnell"/>
    <x v="1"/>
    <s v="Caramel Stuffed Bars"/>
    <n v="5677"/>
    <n v="258"/>
  </r>
  <r>
    <s v="Gunar Cockshoot"/>
    <x v="5"/>
    <s v="50% Dark Bites"/>
    <n v="2415"/>
    <n v="255"/>
  </r>
  <r>
    <s v="Ches Bonnell"/>
    <x v="5"/>
    <s v="70% Dark Bites"/>
    <n v="6755"/>
    <n v="252"/>
  </r>
  <r>
    <s v="Ches Bonnell"/>
    <x v="0"/>
    <s v="Manuka Honey Choco"/>
    <n v="5551"/>
    <n v="252"/>
  </r>
  <r>
    <s v="Gigi Bohling"/>
    <x v="3"/>
    <s v="Drinking Coco"/>
    <n v="385"/>
    <n v="249"/>
  </r>
  <r>
    <s v="Curtice Advani"/>
    <x v="0"/>
    <s v="Milk Bars"/>
    <n v="4319"/>
    <n v="30"/>
  </r>
  <r>
    <s v="Gigi Bohling"/>
    <x v="5"/>
    <s v="Smooth Sliky Salty"/>
    <n v="4753"/>
    <n v="246"/>
  </r>
  <r>
    <s v="Ches Bonnell"/>
    <x v="3"/>
    <s v="Eclairs"/>
    <n v="4438"/>
    <n v="246"/>
  </r>
  <r>
    <s v="Husein Augar"/>
    <x v="1"/>
    <s v="85% Dark Bars"/>
    <n v="4137"/>
    <n v="60"/>
  </r>
  <r>
    <s v="Oby Sorrel"/>
    <x v="2"/>
    <s v="After Nines"/>
    <n v="4053"/>
    <n v="24"/>
  </r>
  <r>
    <s v="Barr Faughny"/>
    <x v="0"/>
    <s v="Smooth Sliky Salty"/>
    <n v="3094"/>
    <n v="246"/>
  </r>
  <r>
    <s v="Husein Augar"/>
    <x v="4"/>
    <s v="Baker's Choco Chips"/>
    <n v="2856"/>
    <n v="246"/>
  </r>
  <r>
    <s v="Barr Faughny"/>
    <x v="3"/>
    <s v="Peanut Butter Cubes"/>
    <n v="4018"/>
    <n v="126"/>
  </r>
  <r>
    <s v="Gunar Cockshoot"/>
    <x v="4"/>
    <s v="Eclairs"/>
    <n v="3983"/>
    <n v="144"/>
  </r>
  <r>
    <s v="Carla Molina"/>
    <x v="3"/>
    <s v="50% Dark Bites"/>
    <n v="3976"/>
    <n v="72"/>
  </r>
  <r>
    <s v="Husein Augar"/>
    <x v="5"/>
    <s v="Raspberry Choco"/>
    <n v="7833"/>
    <n v="243"/>
  </r>
  <r>
    <s v="Ches Bonnell"/>
    <x v="5"/>
    <s v="99% Dark &amp; Pure"/>
    <n v="4585"/>
    <n v="240"/>
  </r>
  <r>
    <s v="Husein Augar"/>
    <x v="1"/>
    <s v="White Choc"/>
    <n v="3850"/>
    <n v="102"/>
  </r>
  <r>
    <s v="Ches Bonnell"/>
    <x v="2"/>
    <s v="Raspberry Choco"/>
    <n v="3829"/>
    <n v="24"/>
  </r>
  <r>
    <s v="Carla Molina"/>
    <x v="4"/>
    <s v="70% Dark Bites"/>
    <n v="1526"/>
    <n v="240"/>
  </r>
  <r>
    <s v="Gigi Bohling"/>
    <x v="2"/>
    <s v="After Nines"/>
    <n v="6279"/>
    <n v="237"/>
  </r>
  <r>
    <s v="Ram Mahesh"/>
    <x v="5"/>
    <s v="Choco Coated Almonds"/>
    <n v="12348"/>
    <n v="234"/>
  </r>
  <r>
    <s v="Curtice Advani"/>
    <x v="2"/>
    <s v="Eclairs"/>
    <n v="3759"/>
    <n v="150"/>
  </r>
  <r>
    <s v="Gunar Cockshoot"/>
    <x v="5"/>
    <s v="White Choc"/>
    <n v="2464"/>
    <n v="234"/>
  </r>
  <r>
    <s v="Brien Boise"/>
    <x v="1"/>
    <s v="Fruit &amp; Nut Bars"/>
    <n v="1701"/>
    <n v="234"/>
  </r>
  <r>
    <s v="Gunar Cockshoot"/>
    <x v="3"/>
    <s v="Manuka Honey Choco"/>
    <n v="3640"/>
    <n v="51"/>
  </r>
  <r>
    <s v="Brien Boise"/>
    <x v="5"/>
    <s v="70% Dark Bites"/>
    <n v="3598"/>
    <n v="81"/>
  </r>
  <r>
    <s v="Carla Molina"/>
    <x v="0"/>
    <s v="Milk Bars"/>
    <n v="10311"/>
    <n v="231"/>
  </r>
  <r>
    <s v="Barr Faughny"/>
    <x v="1"/>
    <s v="Almond Choco"/>
    <n v="3549"/>
    <n v="3"/>
  </r>
  <r>
    <s v="Carla Molina"/>
    <x v="4"/>
    <s v="Raspberry Choco"/>
    <n v="714"/>
    <n v="231"/>
  </r>
  <r>
    <s v="Oby Sorrel"/>
    <x v="5"/>
    <s v="50% Dark Bites"/>
    <n v="3472"/>
    <n v="96"/>
  </r>
  <r>
    <s v="Oby Sorrel"/>
    <x v="5"/>
    <s v="Spicy Special Slims"/>
    <n v="567"/>
    <n v="228"/>
  </r>
  <r>
    <s v="Carla Molina"/>
    <x v="4"/>
    <s v="Orange Choco"/>
    <n v="3388"/>
    <n v="123"/>
  </r>
  <r>
    <s v="Curtice Advani"/>
    <x v="2"/>
    <s v="Manuka Honey Choco"/>
    <n v="3339"/>
    <n v="75"/>
  </r>
  <r>
    <s v="Gunar Cockshoot"/>
    <x v="0"/>
    <s v="White Choc"/>
    <n v="3339"/>
    <n v="39"/>
  </r>
  <r>
    <s v="Ches Bonnell"/>
    <x v="4"/>
    <s v="50% Dark Bites"/>
    <n v="6608"/>
    <n v="225"/>
  </r>
  <r>
    <s v="Ches Bonnell"/>
    <x v="2"/>
    <s v="Choco Coated Almonds"/>
    <n v="3262"/>
    <n v="75"/>
  </r>
  <r>
    <s v="Husein Augar"/>
    <x v="3"/>
    <s v="White Choc"/>
    <n v="3192"/>
    <n v="72"/>
  </r>
  <r>
    <s v="Ram Mahesh"/>
    <x v="3"/>
    <s v="Caramel Stuffed Bars"/>
    <n v="3101"/>
    <n v="225"/>
  </r>
  <r>
    <s v="Gunar Cockshoot"/>
    <x v="2"/>
    <s v="Baker's Choco Chips"/>
    <n v="3108"/>
    <n v="54"/>
  </r>
  <r>
    <s v="Carla Molina"/>
    <x v="2"/>
    <s v="Mint Chip Choco"/>
    <n v="1274"/>
    <n v="225"/>
  </r>
  <r>
    <s v="Brien Boise"/>
    <x v="2"/>
    <s v="Mint Chip Choco"/>
    <n v="2009"/>
    <n v="219"/>
  </r>
  <r>
    <s v="Oby Sorrel"/>
    <x v="4"/>
    <s v="Caramel Stuffed Bars"/>
    <n v="3059"/>
    <n v="27"/>
  </r>
  <r>
    <s v="Carla Molina"/>
    <x v="5"/>
    <s v="Caramel Stuffed Bars"/>
    <n v="7455"/>
    <n v="216"/>
  </r>
  <r>
    <s v="Curtice Advani"/>
    <x v="3"/>
    <s v="85% Dark Bars"/>
    <n v="2989"/>
    <n v="3"/>
  </r>
  <r>
    <s v="Barr Faughny"/>
    <x v="3"/>
    <s v="Spicy Special Slims"/>
    <n v="7651"/>
    <n v="213"/>
  </r>
  <r>
    <s v="Carla Molina"/>
    <x v="4"/>
    <s v="Spicy Special Slims"/>
    <n v="2933"/>
    <n v="9"/>
  </r>
  <r>
    <s v="Husein Augar"/>
    <x v="4"/>
    <s v="Caramel Stuffed Bars"/>
    <n v="2919"/>
    <n v="45"/>
  </r>
  <r>
    <s v="Gunar Cockshoot"/>
    <x v="2"/>
    <s v="Eclairs"/>
    <n v="2919"/>
    <n v="93"/>
  </r>
  <r>
    <s v="Gigi Bohling"/>
    <x v="2"/>
    <s v="Manuka Honey Choco"/>
    <n v="2891"/>
    <n v="102"/>
  </r>
  <r>
    <s v="Brien Boise"/>
    <x v="1"/>
    <s v="Choco Coated Almonds"/>
    <n v="3752"/>
    <n v="213"/>
  </r>
  <r>
    <s v="Barr Faughny"/>
    <x v="4"/>
    <s v="Raspberry Choco"/>
    <n v="2863"/>
    <n v="42"/>
  </r>
  <r>
    <s v="Brien Boise"/>
    <x v="3"/>
    <s v="Smooth Sliky Salty"/>
    <n v="8890"/>
    <n v="210"/>
  </r>
  <r>
    <s v="Ches Bonnell"/>
    <x v="5"/>
    <s v="85% Dark Bars"/>
    <n v="2793"/>
    <n v="114"/>
  </r>
  <r>
    <s v="Ram Mahesh"/>
    <x v="2"/>
    <s v="Fruit &amp; Nut Bars"/>
    <n v="2779"/>
    <n v="75"/>
  </r>
  <r>
    <s v="Gigi Bohling"/>
    <x v="5"/>
    <s v="Almond Choco"/>
    <n v="2744"/>
    <n v="9"/>
  </r>
  <r>
    <s v="Husein Augar"/>
    <x v="4"/>
    <s v="Fruit &amp; Nut Bars"/>
    <n v="2737"/>
    <n v="93"/>
  </r>
  <r>
    <s v="Brien Boise"/>
    <x v="5"/>
    <s v="After Nines"/>
    <n v="5012"/>
    <n v="210"/>
  </r>
  <r>
    <s v="Curtice Advani"/>
    <x v="1"/>
    <s v="Smooth Sliky Salty"/>
    <n v="2681"/>
    <n v="54"/>
  </r>
  <r>
    <s v="Husein Augar"/>
    <x v="1"/>
    <s v="Mint Chip Choco"/>
    <n v="2646"/>
    <n v="120"/>
  </r>
  <r>
    <s v="Ches Bonnell"/>
    <x v="4"/>
    <s v="After Nines"/>
    <n v="9835"/>
    <n v="207"/>
  </r>
  <r>
    <s v="Curtice Advani"/>
    <x v="2"/>
    <s v="Organic Choco Syrup"/>
    <n v="4242"/>
    <n v="207"/>
  </r>
  <r>
    <s v="Gunar Cockshoot"/>
    <x v="2"/>
    <s v="Orange Choco"/>
    <n v="2583"/>
    <n v="18"/>
  </r>
  <r>
    <s v="Oby Sorrel"/>
    <x v="5"/>
    <s v="Raspberry Choco"/>
    <n v="2562"/>
    <n v="6"/>
  </r>
  <r>
    <s v="Ram Mahesh"/>
    <x v="1"/>
    <s v="White Choc"/>
    <n v="2541"/>
    <n v="90"/>
  </r>
  <r>
    <s v="Ram Mahesh"/>
    <x v="1"/>
    <s v="Manuka Honey Choco"/>
    <n v="2541"/>
    <n v="45"/>
  </r>
  <r>
    <s v="Ches Bonnell"/>
    <x v="5"/>
    <s v="Organic Choco Syrup"/>
    <n v="2478"/>
    <n v="21"/>
  </r>
  <r>
    <s v="Husein Augar"/>
    <x v="4"/>
    <s v="Almond Choco"/>
    <n v="259"/>
    <n v="207"/>
  </r>
  <r>
    <s v="Husein Augar"/>
    <x v="0"/>
    <s v="Organic Choco Syrup"/>
    <n v="11522"/>
    <n v="204"/>
  </r>
  <r>
    <s v="Husein Augar"/>
    <x v="1"/>
    <s v="Baker's Choco Chips"/>
    <n v="2436"/>
    <n v="99"/>
  </r>
  <r>
    <s v="Husein Augar"/>
    <x v="5"/>
    <s v="Organic Choco Syrup"/>
    <n v="2429"/>
    <n v="144"/>
  </r>
  <r>
    <s v="Oby Sorrel"/>
    <x v="2"/>
    <s v="99% Dark &amp; Pure"/>
    <n v="5355"/>
    <n v="204"/>
  </r>
  <r>
    <s v="Gigi Bohling"/>
    <x v="5"/>
    <s v="Drinking Coco"/>
    <n v="2415"/>
    <n v="15"/>
  </r>
  <r>
    <s v="Husein Augar"/>
    <x v="1"/>
    <s v="Eclairs"/>
    <n v="2408"/>
    <n v="9"/>
  </r>
  <r>
    <s v="Husein Augar"/>
    <x v="3"/>
    <s v="Drinking Coco"/>
    <n v="2639"/>
    <n v="204"/>
  </r>
  <r>
    <s v="Brien Boise"/>
    <x v="4"/>
    <s v="99% Dark &amp; Pure"/>
    <n v="1771"/>
    <n v="204"/>
  </r>
  <r>
    <s v="Curtice Advani"/>
    <x v="1"/>
    <s v="Milk Bars"/>
    <n v="2317"/>
    <n v="123"/>
  </r>
  <r>
    <s v="Ram Mahesh"/>
    <x v="2"/>
    <s v="Organic Choco Syrup"/>
    <n v="2289"/>
    <n v="135"/>
  </r>
  <r>
    <s v="Carla Molina"/>
    <x v="0"/>
    <s v="Baker's Choco Chips"/>
    <n v="98"/>
    <n v="204"/>
  </r>
  <r>
    <s v="Brien Boise"/>
    <x v="1"/>
    <s v="Organic Choco Syrup"/>
    <n v="2268"/>
    <n v="63"/>
  </r>
  <r>
    <s v="Ches Bonnell"/>
    <x v="2"/>
    <s v="Peanut Butter Cubes"/>
    <n v="2226"/>
    <n v="48"/>
  </r>
  <r>
    <s v="Curtice Advani"/>
    <x v="2"/>
    <s v="Mint Chip Choco"/>
    <n v="2219"/>
    <n v="75"/>
  </r>
  <r>
    <s v="Gunar Cockshoot"/>
    <x v="2"/>
    <s v="Fruit &amp; Nut Bars"/>
    <n v="2212"/>
    <n v="117"/>
  </r>
  <r>
    <s v="Oby Sorrel"/>
    <x v="1"/>
    <s v="After Nines"/>
    <n v="2205"/>
    <n v="141"/>
  </r>
  <r>
    <s v="Ches Bonnell"/>
    <x v="2"/>
    <s v="Orange Choco"/>
    <n v="2205"/>
    <n v="138"/>
  </r>
  <r>
    <s v="Ches Bonnell"/>
    <x v="0"/>
    <s v="Smooth Sliky Salty"/>
    <n v="2149"/>
    <n v="117"/>
  </r>
  <r>
    <s v="Husein Augar"/>
    <x v="0"/>
    <s v="White Choc"/>
    <n v="2142"/>
    <n v="114"/>
  </r>
  <r>
    <s v="Ches Bonnell"/>
    <x v="5"/>
    <s v="Mint Chip Choco"/>
    <n v="2135"/>
    <n v="27"/>
  </r>
  <r>
    <s v="Gunar Cockshoot"/>
    <x v="5"/>
    <s v="Manuka Honey Choco"/>
    <n v="2114"/>
    <n v="66"/>
  </r>
  <r>
    <s v="Gigi Bohling"/>
    <x v="5"/>
    <s v="Raspberry Choco"/>
    <n v="13391"/>
    <n v="201"/>
  </r>
  <r>
    <s v="Barr Faughny"/>
    <x v="4"/>
    <s v="Eclairs"/>
    <n v="9926"/>
    <n v="201"/>
  </r>
  <r>
    <s v="Gigi Bohling"/>
    <x v="2"/>
    <s v="Raspberry Choco"/>
    <n v="7280"/>
    <n v="201"/>
  </r>
  <r>
    <s v="Gunar Cockshoot"/>
    <x v="5"/>
    <s v="Fruit &amp; Nut Bars"/>
    <n v="2023"/>
    <n v="78"/>
  </r>
  <r>
    <s v="Barr Faughny"/>
    <x v="3"/>
    <s v="Mint Chip Choco"/>
    <n v="2016"/>
    <n v="117"/>
  </r>
  <r>
    <s v="Ram Mahesh"/>
    <x v="0"/>
    <s v="Milk Bars"/>
    <n v="4424"/>
    <n v="201"/>
  </r>
  <r>
    <s v="Ram Mahesh"/>
    <x v="1"/>
    <s v="Smooth Sliky Salty"/>
    <n v="1988"/>
    <n v="39"/>
  </r>
  <r>
    <s v="Ches Bonnell"/>
    <x v="3"/>
    <s v="Organic Choco Syrup"/>
    <n v="966"/>
    <n v="198"/>
  </r>
  <r>
    <s v="Oby Sorrel"/>
    <x v="5"/>
    <s v="Orange Choco"/>
    <n v="1974"/>
    <n v="195"/>
  </r>
  <r>
    <s v="Brien Boise"/>
    <x v="4"/>
    <s v="After Nines"/>
    <n v="1890"/>
    <n v="195"/>
  </r>
  <r>
    <s v="Gigi Bohling"/>
    <x v="2"/>
    <s v="99% Dark &amp; Pure"/>
    <n v="861"/>
    <n v="195"/>
  </r>
  <r>
    <s v="Carla Molina"/>
    <x v="0"/>
    <s v="99% Dark &amp; Pure"/>
    <n v="1925"/>
    <n v="192"/>
  </r>
  <r>
    <s v="Ches Bonnell"/>
    <x v="2"/>
    <s v="85% Dark Bars"/>
    <n v="8862"/>
    <n v="189"/>
  </r>
  <r>
    <s v="Curtice Advani"/>
    <x v="4"/>
    <s v="Fruit &amp; Nut Bars"/>
    <n v="4949"/>
    <n v="189"/>
  </r>
  <r>
    <s v="Husein Augar"/>
    <x v="0"/>
    <s v="Choco Coated Almonds"/>
    <n v="2954"/>
    <n v="189"/>
  </r>
  <r>
    <s v="Husein Augar"/>
    <x v="2"/>
    <s v="Mint Chip Choco"/>
    <n v="938"/>
    <n v="189"/>
  </r>
  <r>
    <s v="Gigi Bohling"/>
    <x v="2"/>
    <s v="Peanut Butter Cubes"/>
    <n v="1652"/>
    <n v="93"/>
  </r>
  <r>
    <s v="Gunar Cockshoot"/>
    <x v="3"/>
    <s v="Caramel Stuffed Bars"/>
    <n v="1652"/>
    <n v="102"/>
  </r>
  <r>
    <s v="Curtice Advani"/>
    <x v="3"/>
    <s v="70% Dark Bites"/>
    <n v="1638"/>
    <n v="63"/>
  </r>
  <r>
    <s v="Ram Mahesh"/>
    <x v="5"/>
    <s v="85% Dark Bars"/>
    <n v="1638"/>
    <n v="48"/>
  </r>
  <r>
    <s v="Ram Mahesh"/>
    <x v="4"/>
    <s v="70% Dark Bites"/>
    <n v="1624"/>
    <n v="114"/>
  </r>
  <r>
    <s v="Ram Mahesh"/>
    <x v="5"/>
    <s v="Manuka Honey Choco"/>
    <n v="1617"/>
    <n v="126"/>
  </r>
  <r>
    <s v="Carla Molina"/>
    <x v="5"/>
    <s v="Raspberry Choco"/>
    <n v="2114"/>
    <n v="186"/>
  </r>
  <r>
    <s v="Ches Bonnell"/>
    <x v="2"/>
    <s v="White Choc"/>
    <n v="1568"/>
    <n v="96"/>
  </r>
  <r>
    <s v="Barr Faughny"/>
    <x v="3"/>
    <s v="After Nines"/>
    <n v="1568"/>
    <n v="141"/>
  </r>
  <r>
    <s v="Brien Boise"/>
    <x v="3"/>
    <s v="Baker's Choco Chips"/>
    <n v="1561"/>
    <n v="27"/>
  </r>
  <r>
    <s v="Brien Boise"/>
    <x v="3"/>
    <s v="70% Dark Bites"/>
    <n v="7021"/>
    <n v="183"/>
  </r>
  <r>
    <s v="Gigi Bohling"/>
    <x v="0"/>
    <s v="70% Dark Bites"/>
    <n v="1526"/>
    <n v="105"/>
  </r>
  <r>
    <s v="Curtice Advani"/>
    <x v="4"/>
    <s v="Drinking Coco"/>
    <n v="1505"/>
    <n v="102"/>
  </r>
  <r>
    <s v="Carla Molina"/>
    <x v="2"/>
    <s v="Eclairs"/>
    <n v="1463"/>
    <n v="39"/>
  </r>
  <r>
    <s v="Curtice Advani"/>
    <x v="2"/>
    <s v="Raspberry Choco"/>
    <n v="1442"/>
    <n v="15"/>
  </r>
  <r>
    <s v="Oby Sorrel"/>
    <x v="2"/>
    <s v="White Choc"/>
    <n v="1428"/>
    <n v="93"/>
  </r>
  <r>
    <s v="Oby Sorrel"/>
    <x v="0"/>
    <s v="Organic Choco Syrup"/>
    <n v="1407"/>
    <n v="72"/>
  </r>
  <r>
    <s v="Curtice Advani"/>
    <x v="0"/>
    <s v="Manuka Honey Choco"/>
    <n v="1400"/>
    <n v="135"/>
  </r>
  <r>
    <s v="Barr Faughny"/>
    <x v="1"/>
    <s v="Caramel Stuffed Bars"/>
    <n v="6580"/>
    <n v="183"/>
  </r>
  <r>
    <s v="Ches Bonnell"/>
    <x v="1"/>
    <s v="50% Dark Bites"/>
    <n v="1281"/>
    <n v="75"/>
  </r>
  <r>
    <s v="Gunar Cockshoot"/>
    <x v="0"/>
    <s v="99% Dark &amp; Pure"/>
    <n v="1281"/>
    <n v="18"/>
  </r>
  <r>
    <s v="Curtice Advani"/>
    <x v="5"/>
    <s v="Organic Choco Syrup"/>
    <n v="3864"/>
    <n v="177"/>
  </r>
  <r>
    <s v="Ches Bonnell"/>
    <x v="0"/>
    <s v="Drinking Coco"/>
    <n v="2646"/>
    <n v="177"/>
  </r>
  <r>
    <s v="Carla Molina"/>
    <x v="4"/>
    <s v="Baker's Choco Chips"/>
    <n v="2324"/>
    <n v="177"/>
  </r>
  <r>
    <s v="Carla Molina"/>
    <x v="2"/>
    <s v="Peanut Butter Cubes"/>
    <n v="7847"/>
    <n v="174"/>
  </r>
  <r>
    <s v="Barr Faughny"/>
    <x v="4"/>
    <s v="50% Dark Bites"/>
    <n v="1057"/>
    <n v="54"/>
  </r>
  <r>
    <s v="Carla Molina"/>
    <x v="0"/>
    <s v="70% Dark Bites"/>
    <n v="6118"/>
    <n v="174"/>
  </r>
  <r>
    <s v="Ram Mahesh"/>
    <x v="5"/>
    <s v="Mint Chip Choco"/>
    <n v="4725"/>
    <n v="174"/>
  </r>
  <r>
    <s v="Husein Augar"/>
    <x v="5"/>
    <s v="Almond Choco"/>
    <n v="959"/>
    <n v="147"/>
  </r>
  <r>
    <s v="Curtice Advani"/>
    <x v="1"/>
    <s v="Peanut Butter Cubes"/>
    <n v="959"/>
    <n v="135"/>
  </r>
  <r>
    <s v="Oby Sorrel"/>
    <x v="0"/>
    <s v="Milk Bars"/>
    <n v="945"/>
    <n v="75"/>
  </r>
  <r>
    <s v="Curtice Advani"/>
    <x v="1"/>
    <s v="Mint Chip Choco"/>
    <n v="938"/>
    <n v="6"/>
  </r>
  <r>
    <s v="Husein Augar"/>
    <x v="2"/>
    <s v="Eclairs"/>
    <n v="707"/>
    <n v="174"/>
  </r>
  <r>
    <s v="Gunar Cockshoot"/>
    <x v="3"/>
    <s v="Baker's Choco Chips"/>
    <n v="4956"/>
    <n v="171"/>
  </r>
  <r>
    <s v="Gigi Bohling"/>
    <x v="3"/>
    <s v="85% Dark Bars"/>
    <n v="4018"/>
    <n v="171"/>
  </r>
  <r>
    <s v="Gigi Bohling"/>
    <x v="1"/>
    <s v="99% Dark &amp; Pure"/>
    <n v="5474"/>
    <n v="168"/>
  </r>
  <r>
    <s v="Carla Molina"/>
    <x v="5"/>
    <s v="Organic Choco Syrup"/>
    <n v="847"/>
    <n v="129"/>
  </r>
  <r>
    <s v="Brien Boise"/>
    <x v="5"/>
    <s v="Manuka Honey Choco"/>
    <n v="2023"/>
    <n v="168"/>
  </r>
  <r>
    <s v="Gunar Cockshoot"/>
    <x v="3"/>
    <s v="Mint Chip Choco"/>
    <n v="21"/>
    <n v="168"/>
  </r>
  <r>
    <s v="Gunar Cockshoot"/>
    <x v="0"/>
    <s v="Fruit &amp; Nut Bars"/>
    <n v="3773"/>
    <n v="165"/>
  </r>
  <r>
    <s v="Barr Faughny"/>
    <x v="3"/>
    <s v="Orange Choco"/>
    <n v="9443"/>
    <n v="162"/>
  </r>
  <r>
    <s v="Ram Mahesh"/>
    <x v="2"/>
    <s v="99% Dark &amp; Pure"/>
    <n v="4018"/>
    <n v="162"/>
  </r>
  <r>
    <s v="Oby Sorrel"/>
    <x v="2"/>
    <s v="Eclairs"/>
    <n v="700"/>
    <n v="87"/>
  </r>
  <r>
    <s v="Barr Faughny"/>
    <x v="3"/>
    <s v="Fruit &amp; Nut Bars"/>
    <n v="630"/>
    <n v="36"/>
  </r>
  <r>
    <s v="Ram Mahesh"/>
    <x v="1"/>
    <s v="85% Dark Bars"/>
    <n v="623"/>
    <n v="51"/>
  </r>
  <r>
    <s v="Ram Mahesh"/>
    <x v="1"/>
    <s v="Baker's Choco Chips"/>
    <n v="609"/>
    <n v="87"/>
  </r>
  <r>
    <s v="Carla Molina"/>
    <x v="5"/>
    <s v="99% Dark &amp; Pure"/>
    <n v="609"/>
    <n v="99"/>
  </r>
  <r>
    <s v="Gunar Cockshoot"/>
    <x v="0"/>
    <s v="Caramel Stuffed Bars"/>
    <n v="973"/>
    <n v="162"/>
  </r>
  <r>
    <s v="Curtice Advani"/>
    <x v="4"/>
    <s v="70% Dark Bites"/>
    <n v="560"/>
    <n v="81"/>
  </r>
  <r>
    <s v="Barr Faughny"/>
    <x v="5"/>
    <s v="99% Dark &amp; Pure"/>
    <n v="553"/>
    <n v="15"/>
  </r>
  <r>
    <s v="Curtice Advani"/>
    <x v="2"/>
    <s v="Almond Choco"/>
    <n v="525"/>
    <n v="48"/>
  </r>
  <r>
    <s v="Gigi Bohling"/>
    <x v="4"/>
    <s v="After Nines"/>
    <n v="518"/>
    <n v="75"/>
  </r>
  <r>
    <s v="Curtice Advani"/>
    <x v="0"/>
    <s v="Spicy Special Slims"/>
    <n v="497"/>
    <n v="63"/>
  </r>
  <r>
    <s v="Gigi Bohling"/>
    <x v="5"/>
    <s v="After Nines"/>
    <n v="490"/>
    <n v="84"/>
  </r>
  <r>
    <s v="Curtice Advani"/>
    <x v="1"/>
    <s v="White Choc"/>
    <n v="469"/>
    <n v="75"/>
  </r>
  <r>
    <s v="Brien Boise"/>
    <x v="4"/>
    <s v="Spicy Special Slims"/>
    <n v="434"/>
    <n v="87"/>
  </r>
  <r>
    <s v="Ram Mahesh"/>
    <x v="2"/>
    <s v="Peanut Butter Cubes"/>
    <n v="3794"/>
    <n v="159"/>
  </r>
  <r>
    <s v="Brien Boise"/>
    <x v="5"/>
    <s v="Peanut Butter Cubes"/>
    <n v="357"/>
    <n v="126"/>
  </r>
  <r>
    <s v="Carla Molina"/>
    <x v="2"/>
    <s v="After Nines"/>
    <n v="336"/>
    <n v="144"/>
  </r>
  <r>
    <s v="Ches Bonnell"/>
    <x v="0"/>
    <s v="Choco Coated Almonds"/>
    <n v="280"/>
    <n v="87"/>
  </r>
  <r>
    <s v="Husein Augar"/>
    <x v="5"/>
    <s v="Baker's Choco Chips"/>
    <n v="98"/>
    <n v="159"/>
  </r>
  <r>
    <s v="Barr Faughny"/>
    <x v="2"/>
    <s v="Milk Bars"/>
    <n v="252"/>
    <n v="54"/>
  </r>
  <r>
    <s v="Ram Mahesh"/>
    <x v="2"/>
    <s v="Eclairs"/>
    <n v="5019"/>
    <n v="156"/>
  </r>
  <r>
    <s v="Barr Faughny"/>
    <x v="4"/>
    <s v="99% Dark &amp; Pure"/>
    <n v="238"/>
    <n v="18"/>
  </r>
  <r>
    <s v="Ram Mahesh"/>
    <x v="0"/>
    <s v="Almond Choco"/>
    <n v="217"/>
    <n v="36"/>
  </r>
  <r>
    <s v="Barr Faughny"/>
    <x v="0"/>
    <s v="Eclairs"/>
    <n v="189"/>
    <n v="48"/>
  </r>
  <r>
    <s v="Gigi Bohling"/>
    <x v="4"/>
    <s v="Smooth Sliky Salty"/>
    <n v="182"/>
    <n v="48"/>
  </r>
  <r>
    <s v="Brien Boise"/>
    <x v="1"/>
    <s v="After Nines"/>
    <n v="168"/>
    <n v="84"/>
  </r>
  <r>
    <s v="Carla Molina"/>
    <x v="1"/>
    <s v="White Choc"/>
    <n v="154"/>
    <n v="21"/>
  </r>
  <r>
    <s v="Curtice Advani"/>
    <x v="0"/>
    <s v="Eclairs"/>
    <n v="4970"/>
    <n v="156"/>
  </r>
  <r>
    <s v="Husein Augar"/>
    <x v="4"/>
    <s v="White Choc"/>
    <n v="4305"/>
    <n v="156"/>
  </r>
  <r>
    <s v="Oby Sorrel"/>
    <x v="1"/>
    <s v="Milk Bars"/>
    <n v="63"/>
    <n v="123"/>
  </r>
  <r>
    <s v="Barr Faughny"/>
    <x v="1"/>
    <s v="Milk Bars"/>
    <n v="56"/>
    <n v="51"/>
  </r>
  <r>
    <s v="Brien Boise"/>
    <x v="4"/>
    <s v="70% Dark Bites"/>
    <n v="42"/>
    <n v="150"/>
  </r>
  <r>
    <s v="Barr Faughny"/>
    <x v="1"/>
    <s v="Fruit &amp; Nut Bars"/>
    <n v="4417"/>
    <n v="153"/>
  </r>
  <r>
    <s v="Ram Mahesh"/>
    <x v="3"/>
    <s v="Manuka Honey Choco"/>
    <n v="0"/>
    <n v="1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358B7C-A638-4128-B8D6-99AA06C408BC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I3:L10" firstHeaderRow="0" firstDataRow="1" firstDataCol="1"/>
  <pivotFields count="5">
    <pivotField showAll="0"/>
    <pivotField axis="axisRow" showAll="0" sortType="descending">
      <items count="7">
        <item x="1"/>
        <item x="0"/>
        <item x="2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dataField="1" numFmtId="6" showAll="0"/>
    <pivotField dataField="1" numFmtId="3" showAll="0"/>
  </pivotFields>
  <rowFields count="1">
    <field x="1"/>
  </rowFields>
  <rowItems count="7">
    <i>
      <x v="2"/>
    </i>
    <i>
      <x v="1"/>
    </i>
    <i>
      <x v="3"/>
    </i>
    <i>
      <x v="5"/>
    </i>
    <i>
      <x v="4"/>
    </i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3" baseField="0" baseItem="0"/>
    <dataField name=" " fld="3" baseField="0" baseItem="0"/>
    <dataField name="Sum of Units" fld="4" baseField="0" baseItem="0"/>
  </dataFields>
  <conditionalFormats count="1">
    <conditionalFormat scope="field" priority="1">
      <pivotAreas count="1">
        <pivotArea outline="0" collapsedLevelsAreSubtotals="1" fieldPosition="0">
          <references count="2">
            <reference field="4294967294" count="1" selected="0">
              <x v="1"/>
            </reference>
            <reference field="1" count="0" selected="0"/>
          </references>
        </pivotArea>
      </pivotAreas>
    </conditionalFormat>
  </conditionalFormats>
  <pivotTableStyleInfo name="PivotStyleMedium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2A84C-9BB8-4BA1-A4E4-6964179FAFE5}" name="PivotTable4" cacheId="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H5:K11" firstHeaderRow="0" firstDataRow="1" firstDataCol="1"/>
  <pivotFields count="4">
    <pivotField axis="axisRow" allDrilled="1" subtotalTop="0" showAll="0" measureFilter="1" defaultSubtotal="0" defaultAttributeDrillState="1">
      <items count="5">
        <item x="4"/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Amount" fld="2" baseField="0" baseItem="0"/>
    <dataField name="Sum of Units" fld="3" baseField="0" baseItem="0"/>
    <dataField fld="1" subtotal="count" baseField="0" baseItem="0" numFmtId="166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Medium4" showRowHeaders="1" showColHeaders="1" showRowStripes="0" showColStripes="0" showLastColumn="1"/>
  <filters count="1">
    <filter fld="0" type="count" id="14" iMeasureHier="30">
      <autoFilter ref="A1">
        <filterColumn colId="0">
          <top10 val="5" filterVal="5"/>
        </filterColumn>
      </autoFilter>
    </filter>
  </filters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eginner-DA-course-blank.xlsx!chocolates">
        <x15:activeTabTopLevelEntity name="[chocolate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13BFF3-F64B-43F5-9B5F-9EE87844948A}" name="PivotTable1" cacheId="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7" indent="0" outline="1" outlineData="1" multipleFieldFilters="0">
  <location ref="L3:M16" firstHeaderRow="1" firstDataRow="1" firstDataCol="1"/>
  <pivotFields count="3"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2">
    <field x="0"/>
    <field x="1"/>
  </rowFields>
  <rowItems count="13">
    <i>
      <x/>
    </i>
    <i r="1">
      <x/>
    </i>
    <i>
      <x v="1"/>
    </i>
    <i r="1">
      <x v="1"/>
    </i>
    <i>
      <x v="2"/>
    </i>
    <i r="1">
      <x v="2"/>
    </i>
    <i>
      <x v="3"/>
    </i>
    <i r="1">
      <x/>
    </i>
    <i>
      <x v="4"/>
    </i>
    <i r="1">
      <x v="3"/>
    </i>
    <i>
      <x v="5"/>
    </i>
    <i r="1">
      <x v="4"/>
    </i>
    <i t="grand">
      <x/>
    </i>
  </rowItems>
  <colItems count="1">
    <i/>
  </colItems>
  <dataFields count="1">
    <dataField name="Sum of Amount" fld="2" baseField="0" baseItem="0"/>
  </dataFields>
  <pivotHierarchies count="36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1" type="count" id="3" iMeasureHier="23">
      <autoFilter ref="A1">
        <filterColumn colId="0">
          <top10 val="1" filterVal="1"/>
        </filterColumn>
      </autoFilter>
    </filter>
  </filters>
  <rowHierarchiesUsage count="2">
    <rowHierarchyUsage hierarchyUsage="8"/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chocolates]"/>
        <x15:activeTabTopLevelEntity name="[products]"/>
        <x15:activeTabTopLevelEntity name="[Table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Z11:AA33" totalsRowShown="0" headerRowDxfId="7">
  <autoFilter ref="Z11:AA33" xr:uid="{6DAC1E92-D947-4232-891E-65555AD7A47E}"/>
  <tableColumns count="2">
    <tableColumn id="1" xr3:uid="{1B8963D1-E60F-4400-A175-651A513B826F}" name="Product"/>
    <tableColumn id="2" xr3:uid="{1798A7DA-FB9F-46D3-AA0A-B6BCA4A81AC3}" name="Cost per uni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717578A-0E74-4120-8A5A-66D78973D2FC}" name="Data" displayName="Data" ref="C4:I132" totalsRowCount="1" headerRowDxfId="5" headerRowBorderDxfId="4" tableBorderDxfId="3" totalsRowBorderDxfId="2" dataCellStyle="Normal">
  <autoFilter ref="C4:I131" xr:uid="{1717578A-0E74-4120-8A5A-66D78973D2FC}"/>
  <sortState xmlns:xlrd2="http://schemas.microsoft.com/office/spreadsheetml/2017/richdata2" ref="C5:I131">
    <sortCondition ref="G4:G131"/>
  </sortState>
  <tableColumns count="7">
    <tableColumn id="1" xr3:uid="{EBF38B5E-327D-45D1-A136-1E55D51A9ADA}" name="Sales Person" totalsRowLabel="Total" dataCellStyle="Normal"/>
    <tableColumn id="2" xr3:uid="{DE9F8CC1-7233-45EC-A31E-6AF63B0C2FA0}" name="Geography" totalsRowFunction="sum" dataCellStyle="Normal"/>
    <tableColumn id="3" xr3:uid="{5F4F9F83-8D3D-426D-9DA9-9AEBB432F289}" name="Product" totalsRowFunction="sum" dataCellStyle="Normal"/>
    <tableColumn id="4" xr3:uid="{7D99AE4B-A56C-4018-ACEF-FA4B04FDF995}" name="Amount" totalsRowFunction="sum" dataCellStyle="Currency" totalsRowCellStyle="Currency"/>
    <tableColumn id="5" xr3:uid="{6CC9A411-217C-4CC5-A4C2-49716911135E}" name="Units" totalsRowFunction="sum" dataCellStyle="Normal"/>
    <tableColumn id="6" xr3:uid="{1915272D-5BEE-4899-A55D-F5BE03A79560}" name="cost per unit" totalsRowFunction="sum" dataCellStyle="Normal">
      <calculatedColumnFormula>_xlfn.XLOOKUP(Data[[#This Row],[Product]],products[Product],products[Cost per unit])</calculatedColumnFormula>
    </tableColumn>
    <tableColumn id="7" xr3:uid="{925E0BBB-ECD7-43E3-940A-6E7E7C42655B}" name="cost" totalsRowFunction="sum" dataCellStyle="Normal">
      <calculatedColumnFormula>Data[[#This Row],[cost per unit]]*Data[[#This Row],[Units]]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1C9B61-2A85-4D44-A5F7-9013F51F358F}" name="Table3" displayName="Table3" ref="O2:S129" totalsRowShown="0" headerRowDxfId="1" headerRowBorderDxfId="0" headerRowCellStyle="Currency" dataCellStyle="Normal">
  <autoFilter ref="O2:S129" xr:uid="{CB1C9B61-2A85-4D44-A5F7-9013F51F358F}"/>
  <sortState xmlns:xlrd2="http://schemas.microsoft.com/office/spreadsheetml/2017/richdata2" ref="O3:S129">
    <sortCondition ref="R2:R129"/>
  </sortState>
  <tableColumns count="5">
    <tableColumn id="1" xr3:uid="{D90499F8-CA92-441A-8BBE-97E325B51FD0}" name="Sales Person" dataCellStyle="Normal"/>
    <tableColumn id="2" xr3:uid="{E42C33EB-9347-428C-9A6C-20F66427F298}" name="Geography" dataCellStyle="Normal"/>
    <tableColumn id="3" xr3:uid="{C5B2ED19-A65A-4B76-B894-912D5E44F052}" name="Product" dataCellStyle="Normal"/>
    <tableColumn id="4" xr3:uid="{7A75EECF-28EE-4906-8F78-CE28E78E50D8}" name="Amount" dataCellStyle="Normal"/>
    <tableColumn id="5" xr3:uid="{63A01074-3E53-46FA-9650-17CCD1359B07}" name="Units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AA659"/>
  <sheetViews>
    <sheetView showGridLines="0" zoomScale="95" zoomScaleNormal="95" workbookViewId="0">
      <selection activeCell="C4" sqref="C4:I4"/>
    </sheetView>
  </sheetViews>
  <sheetFormatPr defaultRowHeight="15" x14ac:dyDescent="0.25"/>
  <cols>
    <col min="1" max="1" width="1.7109375" customWidth="1"/>
    <col min="2" max="2" width="3.7109375" customWidth="1"/>
    <col min="3" max="3" width="23" customWidth="1"/>
    <col min="4" max="4" width="27.28515625" customWidth="1"/>
    <col min="5" max="5" width="21.85546875" bestFit="1" customWidth="1"/>
    <col min="6" max="6" width="14.28515625" style="23" customWidth="1"/>
    <col min="7" max="7" width="19.42578125" customWidth="1"/>
    <col min="8" max="9" width="14.140625" customWidth="1"/>
    <col min="11" max="11" width="15.28515625" customWidth="1"/>
    <col min="12" max="12" width="13.140625" style="29" customWidth="1"/>
    <col min="13" max="13" width="12.42578125" style="29" customWidth="1"/>
    <col min="14" max="14" width="10.7109375" style="20" customWidth="1"/>
    <col min="15" max="15" width="7.5703125" customWidth="1"/>
    <col min="16" max="16" width="12.85546875" style="20" customWidth="1"/>
    <col min="17" max="17" width="13.140625" style="20" customWidth="1"/>
    <col min="18" max="18" width="0.28515625" hidden="1" customWidth="1"/>
    <col min="19" max="19" width="31.28515625" customWidth="1"/>
    <col min="26" max="26" width="21.85546875" bestFit="1" customWidth="1"/>
    <col min="27" max="27" width="14.42578125" customWidth="1"/>
    <col min="32" max="32" width="21.85546875" customWidth="1"/>
  </cols>
  <sheetData>
    <row r="1" spans="1:27" s="2" customFormat="1" ht="52.5" customHeight="1" x14ac:dyDescent="0.25">
      <c r="A1" s="1"/>
      <c r="C1" s="3" t="s">
        <v>73</v>
      </c>
      <c r="F1" s="22"/>
      <c r="L1" s="28"/>
      <c r="M1" s="28"/>
      <c r="N1" s="35"/>
      <c r="P1" s="35"/>
      <c r="Q1" s="35"/>
    </row>
    <row r="4" spans="1:27" x14ac:dyDescent="0.25">
      <c r="C4" s="10" t="s">
        <v>11</v>
      </c>
      <c r="D4" s="10" t="s">
        <v>12</v>
      </c>
      <c r="E4" s="10" t="s">
        <v>0</v>
      </c>
      <c r="F4" s="24" t="s">
        <v>1</v>
      </c>
      <c r="G4" s="10" t="s">
        <v>43</v>
      </c>
      <c r="H4" s="10" t="s">
        <v>53</v>
      </c>
      <c r="I4" s="10" t="s">
        <v>54</v>
      </c>
      <c r="K4" s="7" t="s">
        <v>42</v>
      </c>
      <c r="L4" s="30" t="s">
        <v>1</v>
      </c>
      <c r="M4" s="30" t="s">
        <v>43</v>
      </c>
      <c r="P4" s="36" t="s">
        <v>71</v>
      </c>
      <c r="Q4" s="36" t="s">
        <v>72</v>
      </c>
    </row>
    <row r="5" spans="1:27" x14ac:dyDescent="0.25">
      <c r="C5" t="s">
        <v>2</v>
      </c>
      <c r="D5" t="s">
        <v>38</v>
      </c>
      <c r="E5" t="s">
        <v>23</v>
      </c>
      <c r="F5" s="23">
        <v>4417</v>
      </c>
      <c r="G5">
        <v>153</v>
      </c>
      <c r="H5">
        <f>_xlfn.XLOOKUP(Data[[#This Row],[Product]],products[Product],products[Cost per unit])</f>
        <v>6.49</v>
      </c>
      <c r="I5">
        <f>Data[[#This Row],[cost per unit]]*Data[[#This Row],[Units]]</f>
        <v>992.97</v>
      </c>
      <c r="P5" s="41">
        <f>COUNTA(_xlfn.UNIQUE(Data[Product]))</f>
        <v>22</v>
      </c>
      <c r="Q5" s="42">
        <f>COUNTA(_xlfn.UNIQUE(Data[Geography]))</f>
        <v>6</v>
      </c>
    </row>
    <row r="6" spans="1:27" x14ac:dyDescent="0.25">
      <c r="C6" t="s">
        <v>40</v>
      </c>
      <c r="D6" t="s">
        <v>34</v>
      </c>
      <c r="E6" t="s">
        <v>17</v>
      </c>
      <c r="F6" s="23">
        <v>5019</v>
      </c>
      <c r="G6">
        <v>156</v>
      </c>
      <c r="H6">
        <f>_xlfn.XLOOKUP(Data[[#This Row],[Product]],products[Product],products[Cost per unit])</f>
        <v>3.11</v>
      </c>
      <c r="I6">
        <f>Data[[#This Row],[cost per unit]]*Data[[#This Row],[Units]]</f>
        <v>485.15999999999997</v>
      </c>
      <c r="K6" s="38" t="s">
        <v>66</v>
      </c>
      <c r="L6" s="39">
        <f>AVERAGE(Data[Amount])</f>
        <v>4364.1968503937005</v>
      </c>
      <c r="M6" s="39">
        <f>AVERAGE(Data[Units])</f>
        <v>264.89763779527561</v>
      </c>
    </row>
    <row r="7" spans="1:27" x14ac:dyDescent="0.25">
      <c r="C7" t="s">
        <v>6</v>
      </c>
      <c r="D7" t="s">
        <v>36</v>
      </c>
      <c r="E7" t="s">
        <v>17</v>
      </c>
      <c r="F7" s="23">
        <v>4970</v>
      </c>
      <c r="G7">
        <v>156</v>
      </c>
      <c r="H7">
        <f>_xlfn.XLOOKUP(Data[[#This Row],[Product]],products[Product],products[Cost per unit])</f>
        <v>3.11</v>
      </c>
      <c r="I7">
        <f>Data[[#This Row],[cost per unit]]*Data[[#This Row],[Units]]</f>
        <v>485.15999999999997</v>
      </c>
      <c r="K7" s="38" t="s">
        <v>67</v>
      </c>
      <c r="L7" s="40">
        <f>MEDIAN(Data[Amount])</f>
        <v>3864</v>
      </c>
      <c r="M7" s="40">
        <f>MEDIAN(Data[Units])</f>
        <v>240</v>
      </c>
    </row>
    <row r="8" spans="1:27" x14ac:dyDescent="0.25">
      <c r="C8" t="s">
        <v>9</v>
      </c>
      <c r="D8" t="s">
        <v>37</v>
      </c>
      <c r="E8" t="s">
        <v>25</v>
      </c>
      <c r="F8" s="23">
        <v>4305</v>
      </c>
      <c r="G8">
        <v>156</v>
      </c>
      <c r="H8">
        <f>_xlfn.XLOOKUP(Data[[#This Row],[Product]],products[Product],products[Cost per unit])</f>
        <v>13.15</v>
      </c>
      <c r="I8">
        <f>Data[[#This Row],[cost per unit]]*Data[[#This Row],[Units]]</f>
        <v>2051.4</v>
      </c>
      <c r="K8" s="38" t="s">
        <v>68</v>
      </c>
      <c r="L8" s="40">
        <f>MIN(Data[Amount])</f>
        <v>21</v>
      </c>
      <c r="M8" s="40">
        <f>MIN(Data[Units])</f>
        <v>153</v>
      </c>
    </row>
    <row r="9" spans="1:27" x14ac:dyDescent="0.25">
      <c r="C9" t="s">
        <v>40</v>
      </c>
      <c r="D9" t="s">
        <v>34</v>
      </c>
      <c r="E9" t="s">
        <v>33</v>
      </c>
      <c r="F9" s="23">
        <v>3794</v>
      </c>
      <c r="G9">
        <v>159</v>
      </c>
      <c r="H9">
        <f>_xlfn.XLOOKUP(Data[[#This Row],[Product]],products[Product],products[Cost per unit])</f>
        <v>12.37</v>
      </c>
      <c r="I9">
        <f>Data[[#This Row],[cost per unit]]*Data[[#This Row],[Units]]</f>
        <v>1966.83</v>
      </c>
      <c r="K9" s="38" t="s">
        <v>69</v>
      </c>
      <c r="L9" s="40">
        <f>MAX(Data[Amount])</f>
        <v>15610</v>
      </c>
      <c r="M9" s="40">
        <f>MAX(Data[Units])</f>
        <v>525</v>
      </c>
    </row>
    <row r="10" spans="1:27" x14ac:dyDescent="0.25">
      <c r="C10" t="s">
        <v>9</v>
      </c>
      <c r="D10" t="s">
        <v>35</v>
      </c>
      <c r="E10" t="s">
        <v>26</v>
      </c>
      <c r="F10" s="23">
        <v>98</v>
      </c>
      <c r="G10">
        <v>159</v>
      </c>
      <c r="H10">
        <f>_xlfn.XLOOKUP(Data[[#This Row],[Product]],products[Product],products[Cost per unit])</f>
        <v>5.6</v>
      </c>
      <c r="I10">
        <f>Data[[#This Row],[cost per unit]]*Data[[#This Row],[Units]]</f>
        <v>890.4</v>
      </c>
      <c r="K10" s="38" t="s">
        <v>70</v>
      </c>
      <c r="L10" s="40">
        <f>(L9-L8)</f>
        <v>15589</v>
      </c>
      <c r="M10" s="40">
        <f>M9-M8</f>
        <v>372</v>
      </c>
    </row>
    <row r="11" spans="1:27" s="6" customFormat="1" x14ac:dyDescent="0.25">
      <c r="C11" t="s">
        <v>2</v>
      </c>
      <c r="D11" t="s">
        <v>39</v>
      </c>
      <c r="E11" t="s">
        <v>20</v>
      </c>
      <c r="F11" s="23">
        <v>9443</v>
      </c>
      <c r="G11">
        <v>162</v>
      </c>
      <c r="H11">
        <f>_xlfn.XLOOKUP(Data[[#This Row],[Product]],products[Product],products[Cost per unit])</f>
        <v>10.62</v>
      </c>
      <c r="I11">
        <f>Data[[#This Row],[cost per unit]]*Data[[#This Row],[Units]]</f>
        <v>1720.4399999999998</v>
      </c>
      <c r="O11"/>
      <c r="R11"/>
      <c r="S11"/>
      <c r="Z11" s="6" t="s">
        <v>0</v>
      </c>
      <c r="AA11" s="6" t="s">
        <v>44</v>
      </c>
    </row>
    <row r="12" spans="1:27" x14ac:dyDescent="0.25">
      <c r="C12" t="s">
        <v>40</v>
      </c>
      <c r="D12" t="s">
        <v>34</v>
      </c>
      <c r="E12" t="s">
        <v>19</v>
      </c>
      <c r="F12" s="23">
        <v>4018</v>
      </c>
      <c r="G12">
        <v>162</v>
      </c>
      <c r="H12">
        <f>_xlfn.XLOOKUP(Data[[#This Row],[Product]],products[Product],products[Cost per unit])</f>
        <v>7.64</v>
      </c>
      <c r="I12">
        <f>Data[[#This Row],[cost per unit]]*Data[[#This Row],[Units]]</f>
        <v>1237.6799999999998</v>
      </c>
      <c r="Z12" t="s">
        <v>13</v>
      </c>
      <c r="AA12" s="5">
        <v>9.33</v>
      </c>
    </row>
    <row r="13" spans="1:27" x14ac:dyDescent="0.25">
      <c r="C13" t="s">
        <v>3</v>
      </c>
      <c r="D13" t="s">
        <v>36</v>
      </c>
      <c r="E13" t="s">
        <v>28</v>
      </c>
      <c r="F13" s="23">
        <v>973</v>
      </c>
      <c r="G13">
        <v>162</v>
      </c>
      <c r="H13">
        <f>_xlfn.XLOOKUP(Data[[#This Row],[Product]],products[Product],products[Cost per unit])</f>
        <v>10.38</v>
      </c>
      <c r="I13">
        <f>Data[[#This Row],[cost per unit]]*Data[[#This Row],[Units]]</f>
        <v>1681.5600000000002</v>
      </c>
      <c r="Z13" t="s">
        <v>14</v>
      </c>
      <c r="AA13" s="5">
        <v>11.7</v>
      </c>
    </row>
    <row r="14" spans="1:27" x14ac:dyDescent="0.25">
      <c r="C14" t="s">
        <v>3</v>
      </c>
      <c r="D14" t="s">
        <v>36</v>
      </c>
      <c r="E14" t="s">
        <v>23</v>
      </c>
      <c r="F14" s="23">
        <v>3773</v>
      </c>
      <c r="G14">
        <v>165</v>
      </c>
      <c r="H14">
        <f>_xlfn.XLOOKUP(Data[[#This Row],[Product]],products[Product],products[Cost per unit])</f>
        <v>6.49</v>
      </c>
      <c r="I14">
        <f>Data[[#This Row],[cost per unit]]*Data[[#This Row],[Units]]</f>
        <v>1070.8500000000001</v>
      </c>
      <c r="Z14" t="s">
        <v>4</v>
      </c>
      <c r="AA14" s="5">
        <v>11.88</v>
      </c>
    </row>
    <row r="15" spans="1:27" x14ac:dyDescent="0.25">
      <c r="C15" t="s">
        <v>5</v>
      </c>
      <c r="D15" t="s">
        <v>38</v>
      </c>
      <c r="E15" t="s">
        <v>19</v>
      </c>
      <c r="F15" s="23">
        <v>5474</v>
      </c>
      <c r="G15">
        <v>168</v>
      </c>
      <c r="H15">
        <f>_xlfn.XLOOKUP(Data[[#This Row],[Product]],products[Product],products[Cost per unit])</f>
        <v>7.64</v>
      </c>
      <c r="I15">
        <f>Data[[#This Row],[cost per unit]]*Data[[#This Row],[Units]]</f>
        <v>1283.52</v>
      </c>
      <c r="K15" s="44" t="s">
        <v>74</v>
      </c>
      <c r="Z15" t="s">
        <v>15</v>
      </c>
      <c r="AA15" s="5">
        <v>11.73</v>
      </c>
    </row>
    <row r="16" spans="1:27" x14ac:dyDescent="0.25">
      <c r="C16" t="s">
        <v>8</v>
      </c>
      <c r="D16" t="s">
        <v>35</v>
      </c>
      <c r="E16" t="s">
        <v>29</v>
      </c>
      <c r="F16" s="23">
        <v>2023</v>
      </c>
      <c r="G16">
        <v>168</v>
      </c>
      <c r="H16">
        <f>_xlfn.XLOOKUP(Data[[#This Row],[Product]],products[Product],products[Cost per unit])</f>
        <v>7.16</v>
      </c>
      <c r="I16">
        <f>Data[[#This Row],[cost per unit]]*Data[[#This Row],[Units]]</f>
        <v>1202.8800000000001</v>
      </c>
      <c r="Z16" t="s">
        <v>16</v>
      </c>
      <c r="AA16" s="5">
        <v>8.7899999999999991</v>
      </c>
    </row>
    <row r="17" spans="3:27" x14ac:dyDescent="0.25">
      <c r="C17" t="s">
        <v>3</v>
      </c>
      <c r="D17" t="s">
        <v>39</v>
      </c>
      <c r="E17" t="s">
        <v>16</v>
      </c>
      <c r="F17" s="23">
        <v>21</v>
      </c>
      <c r="G17">
        <v>168</v>
      </c>
      <c r="H17">
        <f>_xlfn.XLOOKUP(Data[[#This Row],[Product]],products[Product],products[Cost per unit])</f>
        <v>8.7899999999999991</v>
      </c>
      <c r="I17">
        <f>Data[[#This Row],[cost per unit]]*Data[[#This Row],[Units]]</f>
        <v>1476.7199999999998</v>
      </c>
      <c r="Z17" t="s">
        <v>17</v>
      </c>
      <c r="AA17" s="5">
        <v>3.11</v>
      </c>
    </row>
    <row r="18" spans="3:27" x14ac:dyDescent="0.25">
      <c r="C18" t="s">
        <v>3</v>
      </c>
      <c r="D18" t="s">
        <v>39</v>
      </c>
      <c r="E18" t="s">
        <v>26</v>
      </c>
      <c r="F18" s="23">
        <v>4956</v>
      </c>
      <c r="G18">
        <v>171</v>
      </c>
      <c r="H18">
        <f>_xlfn.XLOOKUP(Data[[#This Row],[Product]],products[Product],products[Cost per unit])</f>
        <v>5.6</v>
      </c>
      <c r="I18">
        <f>Data[[#This Row],[cost per unit]]*Data[[#This Row],[Units]]</f>
        <v>957.59999999999991</v>
      </c>
      <c r="Z18" t="s">
        <v>18</v>
      </c>
      <c r="AA18" s="5">
        <v>6.47</v>
      </c>
    </row>
    <row r="19" spans="3:27" x14ac:dyDescent="0.25">
      <c r="C19" t="s">
        <v>5</v>
      </c>
      <c r="D19" t="s">
        <v>39</v>
      </c>
      <c r="E19" t="s">
        <v>24</v>
      </c>
      <c r="F19" s="23">
        <v>4018</v>
      </c>
      <c r="G19">
        <v>171</v>
      </c>
      <c r="H19">
        <f>_xlfn.XLOOKUP(Data[[#This Row],[Product]],products[Product],products[Cost per unit])</f>
        <v>4.97</v>
      </c>
      <c r="I19">
        <f>Data[[#This Row],[cost per unit]]*Data[[#This Row],[Units]]</f>
        <v>849.87</v>
      </c>
      <c r="Z19" t="s">
        <v>19</v>
      </c>
      <c r="AA19" s="5">
        <v>7.64</v>
      </c>
    </row>
    <row r="20" spans="3:27" x14ac:dyDescent="0.25">
      <c r="C20" t="s">
        <v>41</v>
      </c>
      <c r="D20" t="s">
        <v>34</v>
      </c>
      <c r="E20" t="s">
        <v>33</v>
      </c>
      <c r="F20" s="23">
        <v>7847</v>
      </c>
      <c r="G20">
        <v>174</v>
      </c>
      <c r="H20">
        <f>_xlfn.XLOOKUP(Data[[#This Row],[Product]],products[Product],products[Cost per unit])</f>
        <v>12.37</v>
      </c>
      <c r="I20">
        <f>Data[[#This Row],[cost per unit]]*Data[[#This Row],[Units]]</f>
        <v>2152.3799999999997</v>
      </c>
      <c r="Z20" t="s">
        <v>20</v>
      </c>
      <c r="AA20" s="5">
        <v>10.62</v>
      </c>
    </row>
    <row r="21" spans="3:27" x14ac:dyDescent="0.25">
      <c r="C21" t="s">
        <v>41</v>
      </c>
      <c r="D21" t="s">
        <v>36</v>
      </c>
      <c r="E21" t="s">
        <v>30</v>
      </c>
      <c r="F21" s="23">
        <v>6118</v>
      </c>
      <c r="G21">
        <v>174</v>
      </c>
      <c r="H21">
        <f>_xlfn.XLOOKUP(Data[[#This Row],[Product]],products[Product],products[Cost per unit])</f>
        <v>14.49</v>
      </c>
      <c r="I21">
        <f>Data[[#This Row],[cost per unit]]*Data[[#This Row],[Units]]</f>
        <v>2521.2600000000002</v>
      </c>
      <c r="Z21" t="s">
        <v>21</v>
      </c>
      <c r="AA21" s="5">
        <v>9</v>
      </c>
    </row>
    <row r="22" spans="3:27" x14ac:dyDescent="0.25">
      <c r="C22" t="s">
        <v>40</v>
      </c>
      <c r="D22" t="s">
        <v>35</v>
      </c>
      <c r="E22" t="s">
        <v>16</v>
      </c>
      <c r="F22" s="23">
        <v>4725</v>
      </c>
      <c r="G22">
        <v>174</v>
      </c>
      <c r="H22">
        <f>_xlfn.XLOOKUP(Data[[#This Row],[Product]],products[Product],products[Cost per unit])</f>
        <v>8.7899999999999991</v>
      </c>
      <c r="I22">
        <f>Data[[#This Row],[cost per unit]]*Data[[#This Row],[Units]]</f>
        <v>1529.4599999999998</v>
      </c>
      <c r="Z22" t="s">
        <v>22</v>
      </c>
      <c r="AA22" s="5">
        <v>9.77</v>
      </c>
    </row>
    <row r="23" spans="3:27" x14ac:dyDescent="0.25">
      <c r="C23" t="s">
        <v>9</v>
      </c>
      <c r="D23" t="s">
        <v>34</v>
      </c>
      <c r="E23" t="s">
        <v>17</v>
      </c>
      <c r="F23" s="23">
        <v>707</v>
      </c>
      <c r="G23">
        <v>174</v>
      </c>
      <c r="H23">
        <f>_xlfn.XLOOKUP(Data[[#This Row],[Product]],products[Product],products[Cost per unit])</f>
        <v>3.11</v>
      </c>
      <c r="I23">
        <f>Data[[#This Row],[cost per unit]]*Data[[#This Row],[Units]]</f>
        <v>541.14</v>
      </c>
      <c r="Z23" t="s">
        <v>23</v>
      </c>
      <c r="AA23" s="5">
        <v>6.49</v>
      </c>
    </row>
    <row r="24" spans="3:27" x14ac:dyDescent="0.25">
      <c r="C24" t="s">
        <v>6</v>
      </c>
      <c r="D24" t="s">
        <v>35</v>
      </c>
      <c r="E24" t="s">
        <v>27</v>
      </c>
      <c r="F24" s="23">
        <v>3864</v>
      </c>
      <c r="G24">
        <v>177</v>
      </c>
      <c r="H24">
        <f>_xlfn.XLOOKUP(Data[[#This Row],[Product]],products[Product],products[Cost per unit])</f>
        <v>16.73</v>
      </c>
      <c r="I24">
        <f>Data[[#This Row],[cost per unit]]*Data[[#This Row],[Units]]</f>
        <v>2961.21</v>
      </c>
      <c r="Z24" t="s">
        <v>24</v>
      </c>
      <c r="AA24" s="5">
        <v>4.97</v>
      </c>
    </row>
    <row r="25" spans="3:27" x14ac:dyDescent="0.25">
      <c r="C25" t="s">
        <v>7</v>
      </c>
      <c r="D25" t="s">
        <v>36</v>
      </c>
      <c r="E25" t="s">
        <v>18</v>
      </c>
      <c r="F25" s="23">
        <v>2646</v>
      </c>
      <c r="G25">
        <v>177</v>
      </c>
      <c r="H25">
        <f>_xlfn.XLOOKUP(Data[[#This Row],[Product]],products[Product],products[Cost per unit])</f>
        <v>6.47</v>
      </c>
      <c r="I25">
        <f>Data[[#This Row],[cost per unit]]*Data[[#This Row],[Units]]</f>
        <v>1145.19</v>
      </c>
      <c r="Z25" t="s">
        <v>25</v>
      </c>
      <c r="AA25" s="5">
        <v>13.15</v>
      </c>
    </row>
    <row r="26" spans="3:27" x14ac:dyDescent="0.25">
      <c r="C26" t="s">
        <v>41</v>
      </c>
      <c r="D26" t="s">
        <v>37</v>
      </c>
      <c r="E26" t="s">
        <v>26</v>
      </c>
      <c r="F26" s="23">
        <v>2324</v>
      </c>
      <c r="G26">
        <v>177</v>
      </c>
      <c r="H26">
        <f>_xlfn.XLOOKUP(Data[[#This Row],[Product]],products[Product],products[Cost per unit])</f>
        <v>5.6</v>
      </c>
      <c r="I26">
        <f>Data[[#This Row],[cost per unit]]*Data[[#This Row],[Units]]</f>
        <v>991.19999999999993</v>
      </c>
      <c r="Z26" t="s">
        <v>26</v>
      </c>
      <c r="AA26" s="5">
        <v>5.6</v>
      </c>
    </row>
    <row r="27" spans="3:27" x14ac:dyDescent="0.25">
      <c r="C27" t="s">
        <v>8</v>
      </c>
      <c r="D27" t="s">
        <v>39</v>
      </c>
      <c r="E27" t="s">
        <v>30</v>
      </c>
      <c r="F27" s="23">
        <v>7021</v>
      </c>
      <c r="G27">
        <v>183</v>
      </c>
      <c r="H27">
        <f>_xlfn.XLOOKUP(Data[[#This Row],[Product]],products[Product],products[Cost per unit])</f>
        <v>14.49</v>
      </c>
      <c r="I27">
        <f>Data[[#This Row],[cost per unit]]*Data[[#This Row],[Units]]</f>
        <v>2651.67</v>
      </c>
      <c r="Z27" t="s">
        <v>27</v>
      </c>
      <c r="AA27" s="5">
        <v>16.73</v>
      </c>
    </row>
    <row r="28" spans="3:27" x14ac:dyDescent="0.25">
      <c r="C28" t="s">
        <v>2</v>
      </c>
      <c r="D28" t="s">
        <v>38</v>
      </c>
      <c r="E28" t="s">
        <v>28</v>
      </c>
      <c r="F28" s="23">
        <v>6580</v>
      </c>
      <c r="G28">
        <v>183</v>
      </c>
      <c r="H28">
        <f>_xlfn.XLOOKUP(Data[[#This Row],[Product]],products[Product],products[Cost per unit])</f>
        <v>10.38</v>
      </c>
      <c r="I28">
        <f>Data[[#This Row],[cost per unit]]*Data[[#This Row],[Units]]</f>
        <v>1899.5400000000002</v>
      </c>
      <c r="Z28" t="s">
        <v>28</v>
      </c>
      <c r="AA28" s="5">
        <v>10.38</v>
      </c>
    </row>
    <row r="29" spans="3:27" x14ac:dyDescent="0.25">
      <c r="C29" t="s">
        <v>41</v>
      </c>
      <c r="D29" t="s">
        <v>35</v>
      </c>
      <c r="E29" t="s">
        <v>15</v>
      </c>
      <c r="F29" s="23">
        <v>2114</v>
      </c>
      <c r="G29">
        <v>186</v>
      </c>
      <c r="H29">
        <f>_xlfn.XLOOKUP(Data[[#This Row],[Product]],products[Product],products[Cost per unit])</f>
        <v>11.73</v>
      </c>
      <c r="I29">
        <f>Data[[#This Row],[cost per unit]]*Data[[#This Row],[Units]]</f>
        <v>2181.7800000000002</v>
      </c>
      <c r="Z29" t="s">
        <v>29</v>
      </c>
      <c r="AA29" s="5">
        <v>7.16</v>
      </c>
    </row>
    <row r="30" spans="3:27" x14ac:dyDescent="0.25">
      <c r="C30" t="s">
        <v>7</v>
      </c>
      <c r="D30" t="s">
        <v>34</v>
      </c>
      <c r="E30" t="s">
        <v>24</v>
      </c>
      <c r="F30" s="23">
        <v>8862</v>
      </c>
      <c r="G30">
        <v>189</v>
      </c>
      <c r="H30">
        <f>_xlfn.XLOOKUP(Data[[#This Row],[Product]],products[Product],products[Cost per unit])</f>
        <v>4.97</v>
      </c>
      <c r="I30">
        <f>Data[[#This Row],[cost per unit]]*Data[[#This Row],[Units]]</f>
        <v>939.32999999999993</v>
      </c>
      <c r="Z30" t="s">
        <v>30</v>
      </c>
      <c r="AA30" s="5">
        <v>14.49</v>
      </c>
    </row>
    <row r="31" spans="3:27" x14ac:dyDescent="0.25">
      <c r="C31" t="s">
        <v>6</v>
      </c>
      <c r="D31" t="s">
        <v>37</v>
      </c>
      <c r="E31" t="s">
        <v>23</v>
      </c>
      <c r="F31" s="23">
        <v>4949</v>
      </c>
      <c r="G31">
        <v>189</v>
      </c>
      <c r="H31">
        <f>_xlfn.XLOOKUP(Data[[#This Row],[Product]],products[Product],products[Cost per unit])</f>
        <v>6.49</v>
      </c>
      <c r="I31">
        <f>Data[[#This Row],[cost per unit]]*Data[[#This Row],[Units]]</f>
        <v>1226.6100000000001</v>
      </c>
      <c r="Z31" t="s">
        <v>31</v>
      </c>
      <c r="AA31" s="5">
        <v>5.79</v>
      </c>
    </row>
    <row r="32" spans="3:27" x14ac:dyDescent="0.25">
      <c r="C32" t="s">
        <v>9</v>
      </c>
      <c r="D32" t="s">
        <v>36</v>
      </c>
      <c r="E32" t="s">
        <v>32</v>
      </c>
      <c r="F32" s="23">
        <v>2954</v>
      </c>
      <c r="G32">
        <v>189</v>
      </c>
      <c r="H32">
        <f>_xlfn.XLOOKUP(Data[[#This Row],[Product]],products[Product],products[Cost per unit])</f>
        <v>8.65</v>
      </c>
      <c r="I32">
        <f>Data[[#This Row],[cost per unit]]*Data[[#This Row],[Units]]</f>
        <v>1634.8500000000001</v>
      </c>
      <c r="Z32" t="s">
        <v>32</v>
      </c>
      <c r="AA32" s="5">
        <v>8.65</v>
      </c>
    </row>
    <row r="33" spans="3:27" x14ac:dyDescent="0.25">
      <c r="C33" t="s">
        <v>9</v>
      </c>
      <c r="D33" t="s">
        <v>34</v>
      </c>
      <c r="E33" t="s">
        <v>16</v>
      </c>
      <c r="F33" s="23">
        <v>938</v>
      </c>
      <c r="G33">
        <v>189</v>
      </c>
      <c r="H33">
        <f>_xlfn.XLOOKUP(Data[[#This Row],[Product]],products[Product],products[Cost per unit])</f>
        <v>8.7899999999999991</v>
      </c>
      <c r="I33">
        <f>Data[[#This Row],[cost per unit]]*Data[[#This Row],[Units]]</f>
        <v>1661.31</v>
      </c>
      <c r="Z33" t="s">
        <v>33</v>
      </c>
      <c r="AA33" s="5">
        <v>12.37</v>
      </c>
    </row>
    <row r="34" spans="3:27" x14ac:dyDescent="0.25">
      <c r="C34" t="s">
        <v>41</v>
      </c>
      <c r="D34" t="s">
        <v>36</v>
      </c>
      <c r="E34" t="s">
        <v>19</v>
      </c>
      <c r="F34" s="23">
        <v>1925</v>
      </c>
      <c r="G34">
        <v>192</v>
      </c>
      <c r="H34">
        <f>_xlfn.XLOOKUP(Data[[#This Row],[Product]],products[Product],products[Cost per unit])</f>
        <v>7.64</v>
      </c>
      <c r="I34">
        <f>Data[[#This Row],[cost per unit]]*Data[[#This Row],[Units]]</f>
        <v>1466.8799999999999</v>
      </c>
    </row>
    <row r="35" spans="3:27" x14ac:dyDescent="0.25">
      <c r="C35" t="s">
        <v>10</v>
      </c>
      <c r="D35" t="s">
        <v>35</v>
      </c>
      <c r="E35" t="s">
        <v>20</v>
      </c>
      <c r="F35" s="23">
        <v>1974</v>
      </c>
      <c r="G35">
        <v>195</v>
      </c>
      <c r="H35">
        <f>_xlfn.XLOOKUP(Data[[#This Row],[Product]],products[Product],products[Cost per unit])</f>
        <v>10.62</v>
      </c>
      <c r="I35">
        <f>Data[[#This Row],[cost per unit]]*Data[[#This Row],[Units]]</f>
        <v>2070.8999999999996</v>
      </c>
    </row>
    <row r="36" spans="3:27" x14ac:dyDescent="0.25">
      <c r="C36" t="s">
        <v>8</v>
      </c>
      <c r="D36" t="s">
        <v>37</v>
      </c>
      <c r="E36" t="s">
        <v>22</v>
      </c>
      <c r="F36" s="23">
        <v>1890</v>
      </c>
      <c r="G36">
        <v>195</v>
      </c>
      <c r="H36">
        <f>_xlfn.XLOOKUP(Data[[#This Row],[Product]],products[Product],products[Cost per unit])</f>
        <v>9.77</v>
      </c>
      <c r="I36">
        <f>Data[[#This Row],[cost per unit]]*Data[[#This Row],[Units]]</f>
        <v>1905.1499999999999</v>
      </c>
    </row>
    <row r="37" spans="3:27" x14ac:dyDescent="0.25">
      <c r="C37" t="s">
        <v>5</v>
      </c>
      <c r="D37" t="s">
        <v>34</v>
      </c>
      <c r="E37" t="s">
        <v>19</v>
      </c>
      <c r="F37" s="23">
        <v>861</v>
      </c>
      <c r="G37">
        <v>195</v>
      </c>
      <c r="H37">
        <f>_xlfn.XLOOKUP(Data[[#This Row],[Product]],products[Product],products[Cost per unit])</f>
        <v>7.64</v>
      </c>
      <c r="I37">
        <f>Data[[#This Row],[cost per unit]]*Data[[#This Row],[Units]]</f>
        <v>1489.8</v>
      </c>
    </row>
    <row r="38" spans="3:27" x14ac:dyDescent="0.25">
      <c r="C38" t="s">
        <v>7</v>
      </c>
      <c r="D38" t="s">
        <v>39</v>
      </c>
      <c r="E38" t="s">
        <v>27</v>
      </c>
      <c r="F38" s="23">
        <v>966</v>
      </c>
      <c r="G38">
        <v>198</v>
      </c>
      <c r="H38">
        <f>_xlfn.XLOOKUP(Data[[#This Row],[Product]],products[Product],products[Cost per unit])</f>
        <v>16.73</v>
      </c>
      <c r="I38">
        <f>Data[[#This Row],[cost per unit]]*Data[[#This Row],[Units]]</f>
        <v>3312.54</v>
      </c>
    </row>
    <row r="39" spans="3:27" x14ac:dyDescent="0.25">
      <c r="C39" t="s">
        <v>5</v>
      </c>
      <c r="D39" t="s">
        <v>35</v>
      </c>
      <c r="E39" t="s">
        <v>15</v>
      </c>
      <c r="F39" s="23">
        <v>13391</v>
      </c>
      <c r="G39">
        <v>201</v>
      </c>
      <c r="H39">
        <f>_xlfn.XLOOKUP(Data[[#This Row],[Product]],products[Product],products[Cost per unit])</f>
        <v>11.73</v>
      </c>
      <c r="I39">
        <f>Data[[#This Row],[cost per unit]]*Data[[#This Row],[Units]]</f>
        <v>2357.73</v>
      </c>
    </row>
    <row r="40" spans="3:27" x14ac:dyDescent="0.25">
      <c r="C40" t="s">
        <v>2</v>
      </c>
      <c r="D40" t="s">
        <v>37</v>
      </c>
      <c r="E40" t="s">
        <v>17</v>
      </c>
      <c r="F40" s="23">
        <v>9926</v>
      </c>
      <c r="G40">
        <v>201</v>
      </c>
      <c r="H40">
        <f>_xlfn.XLOOKUP(Data[[#This Row],[Product]],products[Product],products[Cost per unit])</f>
        <v>3.11</v>
      </c>
      <c r="I40">
        <f>Data[[#This Row],[cost per unit]]*Data[[#This Row],[Units]]</f>
        <v>625.11</v>
      </c>
    </row>
    <row r="41" spans="3:27" x14ac:dyDescent="0.25">
      <c r="C41" t="s">
        <v>5</v>
      </c>
      <c r="D41" t="s">
        <v>34</v>
      </c>
      <c r="E41" t="s">
        <v>15</v>
      </c>
      <c r="F41" s="23">
        <v>7280</v>
      </c>
      <c r="G41">
        <v>201</v>
      </c>
      <c r="H41">
        <f>_xlfn.XLOOKUP(Data[[#This Row],[Product]],products[Product],products[Cost per unit])</f>
        <v>11.73</v>
      </c>
      <c r="I41">
        <f>Data[[#This Row],[cost per unit]]*Data[[#This Row],[Units]]</f>
        <v>2357.73</v>
      </c>
    </row>
    <row r="42" spans="3:27" x14ac:dyDescent="0.25">
      <c r="C42" t="s">
        <v>40</v>
      </c>
      <c r="D42" t="s">
        <v>36</v>
      </c>
      <c r="E42" t="s">
        <v>13</v>
      </c>
      <c r="F42" s="23">
        <v>4424</v>
      </c>
      <c r="G42">
        <v>201</v>
      </c>
      <c r="H42">
        <f>_xlfn.XLOOKUP(Data[[#This Row],[Product]],products[Product],products[Cost per unit])</f>
        <v>9.33</v>
      </c>
      <c r="I42">
        <f>Data[[#This Row],[cost per unit]]*Data[[#This Row],[Units]]</f>
        <v>1875.33</v>
      </c>
    </row>
    <row r="43" spans="3:27" x14ac:dyDescent="0.25">
      <c r="C43" t="s">
        <v>9</v>
      </c>
      <c r="D43" t="s">
        <v>36</v>
      </c>
      <c r="E43" t="s">
        <v>27</v>
      </c>
      <c r="F43" s="23">
        <v>11522</v>
      </c>
      <c r="G43">
        <v>204</v>
      </c>
      <c r="H43">
        <f>_xlfn.XLOOKUP(Data[[#This Row],[Product]],products[Product],products[Cost per unit])</f>
        <v>16.73</v>
      </c>
      <c r="I43">
        <f>Data[[#This Row],[cost per unit]]*Data[[#This Row],[Units]]</f>
        <v>3412.92</v>
      </c>
    </row>
    <row r="44" spans="3:27" x14ac:dyDescent="0.25">
      <c r="C44" t="s">
        <v>10</v>
      </c>
      <c r="D44" t="s">
        <v>34</v>
      </c>
      <c r="E44" t="s">
        <v>19</v>
      </c>
      <c r="F44" s="23">
        <v>5355</v>
      </c>
      <c r="G44">
        <v>204</v>
      </c>
      <c r="H44">
        <f>_xlfn.XLOOKUP(Data[[#This Row],[Product]],products[Product],products[Cost per unit])</f>
        <v>7.64</v>
      </c>
      <c r="I44">
        <f>Data[[#This Row],[cost per unit]]*Data[[#This Row],[Units]]</f>
        <v>1558.56</v>
      </c>
    </row>
    <row r="45" spans="3:27" x14ac:dyDescent="0.25">
      <c r="C45" t="s">
        <v>9</v>
      </c>
      <c r="D45" t="s">
        <v>39</v>
      </c>
      <c r="E45" t="s">
        <v>18</v>
      </c>
      <c r="F45" s="23">
        <v>2639</v>
      </c>
      <c r="G45">
        <v>204</v>
      </c>
      <c r="H45">
        <f>_xlfn.XLOOKUP(Data[[#This Row],[Product]],products[Product],products[Cost per unit])</f>
        <v>6.47</v>
      </c>
      <c r="I45">
        <f>Data[[#This Row],[cost per unit]]*Data[[#This Row],[Units]]</f>
        <v>1319.8799999999999</v>
      </c>
    </row>
    <row r="46" spans="3:27" x14ac:dyDescent="0.25">
      <c r="C46" t="s">
        <v>8</v>
      </c>
      <c r="D46" t="s">
        <v>37</v>
      </c>
      <c r="E46" t="s">
        <v>19</v>
      </c>
      <c r="F46" s="23">
        <v>1771</v>
      </c>
      <c r="G46">
        <v>204</v>
      </c>
      <c r="H46">
        <f>_xlfn.XLOOKUP(Data[[#This Row],[Product]],products[Product],products[Cost per unit])</f>
        <v>7.64</v>
      </c>
      <c r="I46">
        <f>Data[[#This Row],[cost per unit]]*Data[[#This Row],[Units]]</f>
        <v>1558.56</v>
      </c>
    </row>
    <row r="47" spans="3:27" x14ac:dyDescent="0.25">
      <c r="C47" t="s">
        <v>41</v>
      </c>
      <c r="D47" t="s">
        <v>36</v>
      </c>
      <c r="E47" t="s">
        <v>26</v>
      </c>
      <c r="F47" s="23">
        <v>98</v>
      </c>
      <c r="G47">
        <v>204</v>
      </c>
      <c r="H47">
        <f>_xlfn.XLOOKUP(Data[[#This Row],[Product]],products[Product],products[Cost per unit])</f>
        <v>5.6</v>
      </c>
      <c r="I47">
        <f>Data[[#This Row],[cost per unit]]*Data[[#This Row],[Units]]</f>
        <v>1142.3999999999999</v>
      </c>
    </row>
    <row r="48" spans="3:27" x14ac:dyDescent="0.25">
      <c r="C48" t="s">
        <v>7</v>
      </c>
      <c r="D48" t="s">
        <v>37</v>
      </c>
      <c r="E48" t="s">
        <v>22</v>
      </c>
      <c r="F48" s="23">
        <v>9835</v>
      </c>
      <c r="G48">
        <v>207</v>
      </c>
      <c r="H48">
        <f>_xlfn.XLOOKUP(Data[[#This Row],[Product]],products[Product],products[Cost per unit])</f>
        <v>9.77</v>
      </c>
      <c r="I48">
        <f>Data[[#This Row],[cost per unit]]*Data[[#This Row],[Units]]</f>
        <v>2022.3899999999999</v>
      </c>
    </row>
    <row r="49" spans="3:9" x14ac:dyDescent="0.25">
      <c r="C49" t="s">
        <v>6</v>
      </c>
      <c r="D49" t="s">
        <v>34</v>
      </c>
      <c r="E49" t="s">
        <v>27</v>
      </c>
      <c r="F49" s="23">
        <v>4242</v>
      </c>
      <c r="G49">
        <v>207</v>
      </c>
      <c r="H49">
        <f>_xlfn.XLOOKUP(Data[[#This Row],[Product]],products[Product],products[Cost per unit])</f>
        <v>16.73</v>
      </c>
      <c r="I49">
        <f>Data[[#This Row],[cost per unit]]*Data[[#This Row],[Units]]</f>
        <v>3463.11</v>
      </c>
    </row>
    <row r="50" spans="3:9" x14ac:dyDescent="0.25">
      <c r="C50" t="s">
        <v>9</v>
      </c>
      <c r="D50" t="s">
        <v>37</v>
      </c>
      <c r="E50" t="s">
        <v>4</v>
      </c>
      <c r="F50" s="23">
        <v>259</v>
      </c>
      <c r="G50">
        <v>207</v>
      </c>
      <c r="H50">
        <f>_xlfn.XLOOKUP(Data[[#This Row],[Product]],products[Product],products[Cost per unit])</f>
        <v>11.88</v>
      </c>
      <c r="I50">
        <f>Data[[#This Row],[cost per unit]]*Data[[#This Row],[Units]]</f>
        <v>2459.1600000000003</v>
      </c>
    </row>
    <row r="51" spans="3:9" x14ac:dyDescent="0.25">
      <c r="C51" t="s">
        <v>8</v>
      </c>
      <c r="D51" t="s">
        <v>39</v>
      </c>
      <c r="E51" t="s">
        <v>31</v>
      </c>
      <c r="F51" s="23">
        <v>8890</v>
      </c>
      <c r="G51">
        <v>210</v>
      </c>
      <c r="H51">
        <f>_xlfn.XLOOKUP(Data[[#This Row],[Product]],products[Product],products[Cost per unit])</f>
        <v>5.79</v>
      </c>
      <c r="I51">
        <f>Data[[#This Row],[cost per unit]]*Data[[#This Row],[Units]]</f>
        <v>1215.9000000000001</v>
      </c>
    </row>
    <row r="52" spans="3:9" x14ac:dyDescent="0.25">
      <c r="C52" t="s">
        <v>8</v>
      </c>
      <c r="D52" t="s">
        <v>35</v>
      </c>
      <c r="E52" t="s">
        <v>22</v>
      </c>
      <c r="F52" s="23">
        <v>5012</v>
      </c>
      <c r="G52">
        <v>210</v>
      </c>
      <c r="H52">
        <f>_xlfn.XLOOKUP(Data[[#This Row],[Product]],products[Product],products[Cost per unit])</f>
        <v>9.77</v>
      </c>
      <c r="I52">
        <f>Data[[#This Row],[cost per unit]]*Data[[#This Row],[Units]]</f>
        <v>2051.6999999999998</v>
      </c>
    </row>
    <row r="53" spans="3:9" x14ac:dyDescent="0.25">
      <c r="C53" t="s">
        <v>2</v>
      </c>
      <c r="D53" t="s">
        <v>39</v>
      </c>
      <c r="E53" t="s">
        <v>21</v>
      </c>
      <c r="F53" s="23">
        <v>7651</v>
      </c>
      <c r="G53">
        <v>213</v>
      </c>
      <c r="H53">
        <f>_xlfn.XLOOKUP(Data[[#This Row],[Product]],products[Product],products[Cost per unit])</f>
        <v>9</v>
      </c>
      <c r="I53">
        <f>Data[[#This Row],[cost per unit]]*Data[[#This Row],[Units]]</f>
        <v>1917</v>
      </c>
    </row>
    <row r="54" spans="3:9" x14ac:dyDescent="0.25">
      <c r="C54" t="s">
        <v>8</v>
      </c>
      <c r="D54" t="s">
        <v>38</v>
      </c>
      <c r="E54" t="s">
        <v>32</v>
      </c>
      <c r="F54" s="23">
        <v>3752</v>
      </c>
      <c r="G54">
        <v>213</v>
      </c>
      <c r="H54">
        <f>_xlfn.XLOOKUP(Data[[#This Row],[Product]],products[Product],products[Cost per unit])</f>
        <v>8.65</v>
      </c>
      <c r="I54">
        <f>Data[[#This Row],[cost per unit]]*Data[[#This Row],[Units]]</f>
        <v>1842.45</v>
      </c>
    </row>
    <row r="55" spans="3:9" x14ac:dyDescent="0.25">
      <c r="C55" t="s">
        <v>41</v>
      </c>
      <c r="D55" t="s">
        <v>35</v>
      </c>
      <c r="E55" t="s">
        <v>28</v>
      </c>
      <c r="F55" s="23">
        <v>7455</v>
      </c>
      <c r="G55">
        <v>216</v>
      </c>
      <c r="H55">
        <f>_xlfn.XLOOKUP(Data[[#This Row],[Product]],products[Product],products[Cost per unit])</f>
        <v>10.38</v>
      </c>
      <c r="I55">
        <f>Data[[#This Row],[cost per unit]]*Data[[#This Row],[Units]]</f>
        <v>2242.0800000000004</v>
      </c>
    </row>
    <row r="56" spans="3:9" x14ac:dyDescent="0.25">
      <c r="C56" t="s">
        <v>8</v>
      </c>
      <c r="D56" t="s">
        <v>34</v>
      </c>
      <c r="E56" t="s">
        <v>16</v>
      </c>
      <c r="F56" s="23">
        <v>2009</v>
      </c>
      <c r="G56">
        <v>219</v>
      </c>
      <c r="H56">
        <f>_xlfn.XLOOKUP(Data[[#This Row],[Product]],products[Product],products[Cost per unit])</f>
        <v>8.7899999999999991</v>
      </c>
      <c r="I56">
        <f>Data[[#This Row],[cost per unit]]*Data[[#This Row],[Units]]</f>
        <v>1925.0099999999998</v>
      </c>
    </row>
    <row r="57" spans="3:9" x14ac:dyDescent="0.25">
      <c r="C57" t="s">
        <v>7</v>
      </c>
      <c r="D57" t="s">
        <v>37</v>
      </c>
      <c r="E57" t="s">
        <v>14</v>
      </c>
      <c r="F57" s="23">
        <v>6608</v>
      </c>
      <c r="G57">
        <v>225</v>
      </c>
      <c r="H57">
        <f>_xlfn.XLOOKUP(Data[[#This Row],[Product]],products[Product],products[Cost per unit])</f>
        <v>11.7</v>
      </c>
      <c r="I57">
        <f>Data[[#This Row],[cost per unit]]*Data[[#This Row],[Units]]</f>
        <v>2632.5</v>
      </c>
    </row>
    <row r="58" spans="3:9" x14ac:dyDescent="0.25">
      <c r="C58" t="s">
        <v>40</v>
      </c>
      <c r="D58" t="s">
        <v>39</v>
      </c>
      <c r="E58" t="s">
        <v>28</v>
      </c>
      <c r="F58" s="23">
        <v>3101</v>
      </c>
      <c r="G58">
        <v>225</v>
      </c>
      <c r="H58">
        <f>_xlfn.XLOOKUP(Data[[#This Row],[Product]],products[Product],products[Cost per unit])</f>
        <v>10.38</v>
      </c>
      <c r="I58">
        <f>Data[[#This Row],[cost per unit]]*Data[[#This Row],[Units]]</f>
        <v>2335.5</v>
      </c>
    </row>
    <row r="59" spans="3:9" x14ac:dyDescent="0.25">
      <c r="C59" t="s">
        <v>41</v>
      </c>
      <c r="D59" t="s">
        <v>34</v>
      </c>
      <c r="E59" t="s">
        <v>16</v>
      </c>
      <c r="F59" s="23">
        <v>1274</v>
      </c>
      <c r="G59">
        <v>225</v>
      </c>
      <c r="H59">
        <f>_xlfn.XLOOKUP(Data[[#This Row],[Product]],products[Product],products[Cost per unit])</f>
        <v>8.7899999999999991</v>
      </c>
      <c r="I59">
        <f>Data[[#This Row],[cost per unit]]*Data[[#This Row],[Units]]</f>
        <v>1977.7499999999998</v>
      </c>
    </row>
    <row r="60" spans="3:9" x14ac:dyDescent="0.25">
      <c r="C60" t="s">
        <v>10</v>
      </c>
      <c r="D60" t="s">
        <v>35</v>
      </c>
      <c r="E60" t="s">
        <v>21</v>
      </c>
      <c r="F60" s="23">
        <v>567</v>
      </c>
      <c r="G60">
        <v>228</v>
      </c>
      <c r="H60">
        <f>_xlfn.XLOOKUP(Data[[#This Row],[Product]],products[Product],products[Cost per unit])</f>
        <v>9</v>
      </c>
      <c r="I60">
        <f>Data[[#This Row],[cost per unit]]*Data[[#This Row],[Units]]</f>
        <v>2052</v>
      </c>
    </row>
    <row r="61" spans="3:9" x14ac:dyDescent="0.25">
      <c r="C61" t="s">
        <v>41</v>
      </c>
      <c r="D61" t="s">
        <v>36</v>
      </c>
      <c r="E61" t="s">
        <v>13</v>
      </c>
      <c r="F61" s="23">
        <v>10311</v>
      </c>
      <c r="G61">
        <v>231</v>
      </c>
      <c r="H61">
        <f>_xlfn.XLOOKUP(Data[[#This Row],[Product]],products[Product],products[Cost per unit])</f>
        <v>9.33</v>
      </c>
      <c r="I61">
        <f>Data[[#This Row],[cost per unit]]*Data[[#This Row],[Units]]</f>
        <v>2155.23</v>
      </c>
    </row>
    <row r="62" spans="3:9" x14ac:dyDescent="0.25">
      <c r="C62" t="s">
        <v>41</v>
      </c>
      <c r="D62" t="s">
        <v>37</v>
      </c>
      <c r="E62" t="s">
        <v>15</v>
      </c>
      <c r="F62" s="23">
        <v>714</v>
      </c>
      <c r="G62">
        <v>231</v>
      </c>
      <c r="H62">
        <f>_xlfn.XLOOKUP(Data[[#This Row],[Product]],products[Product],products[Cost per unit])</f>
        <v>11.73</v>
      </c>
      <c r="I62">
        <f>Data[[#This Row],[cost per unit]]*Data[[#This Row],[Units]]</f>
        <v>2709.63</v>
      </c>
    </row>
    <row r="63" spans="3:9" x14ac:dyDescent="0.25">
      <c r="C63" t="s">
        <v>40</v>
      </c>
      <c r="D63" t="s">
        <v>35</v>
      </c>
      <c r="E63" t="s">
        <v>32</v>
      </c>
      <c r="F63" s="23">
        <v>12348</v>
      </c>
      <c r="G63">
        <v>234</v>
      </c>
      <c r="H63">
        <f>_xlfn.XLOOKUP(Data[[#This Row],[Product]],products[Product],products[Cost per unit])</f>
        <v>8.65</v>
      </c>
      <c r="I63">
        <f>Data[[#This Row],[cost per unit]]*Data[[#This Row],[Units]]</f>
        <v>2024.1000000000001</v>
      </c>
    </row>
    <row r="64" spans="3:9" x14ac:dyDescent="0.25">
      <c r="C64" t="s">
        <v>3</v>
      </c>
      <c r="D64" t="s">
        <v>35</v>
      </c>
      <c r="E64" t="s">
        <v>25</v>
      </c>
      <c r="F64" s="23">
        <v>2464</v>
      </c>
      <c r="G64">
        <v>234</v>
      </c>
      <c r="H64">
        <f>_xlfn.XLOOKUP(Data[[#This Row],[Product]],products[Product],products[Cost per unit])</f>
        <v>13.15</v>
      </c>
      <c r="I64">
        <f>Data[[#This Row],[cost per unit]]*Data[[#This Row],[Units]]</f>
        <v>3077.1</v>
      </c>
    </row>
    <row r="65" spans="3:9" x14ac:dyDescent="0.25">
      <c r="C65" t="s">
        <v>8</v>
      </c>
      <c r="D65" t="s">
        <v>38</v>
      </c>
      <c r="E65" t="s">
        <v>23</v>
      </c>
      <c r="F65" s="23">
        <v>1701</v>
      </c>
      <c r="G65">
        <v>234</v>
      </c>
      <c r="H65">
        <f>_xlfn.XLOOKUP(Data[[#This Row],[Product]],products[Product],products[Cost per unit])</f>
        <v>6.49</v>
      </c>
      <c r="I65">
        <f>Data[[#This Row],[cost per unit]]*Data[[#This Row],[Units]]</f>
        <v>1518.66</v>
      </c>
    </row>
    <row r="66" spans="3:9" x14ac:dyDescent="0.25">
      <c r="C66" t="s">
        <v>5</v>
      </c>
      <c r="D66" t="s">
        <v>34</v>
      </c>
      <c r="E66" t="s">
        <v>22</v>
      </c>
      <c r="F66" s="23">
        <v>6279</v>
      </c>
      <c r="G66">
        <v>237</v>
      </c>
      <c r="H66">
        <f>_xlfn.XLOOKUP(Data[[#This Row],[Product]],products[Product],products[Cost per unit])</f>
        <v>9.77</v>
      </c>
      <c r="I66">
        <f>Data[[#This Row],[cost per unit]]*Data[[#This Row],[Units]]</f>
        <v>2315.4899999999998</v>
      </c>
    </row>
    <row r="67" spans="3:9" x14ac:dyDescent="0.25">
      <c r="C67" t="s">
        <v>7</v>
      </c>
      <c r="D67" t="s">
        <v>35</v>
      </c>
      <c r="E67" t="s">
        <v>19</v>
      </c>
      <c r="F67" s="23">
        <v>4585</v>
      </c>
      <c r="G67">
        <v>240</v>
      </c>
      <c r="H67">
        <f>_xlfn.XLOOKUP(Data[[#This Row],[Product]],products[Product],products[Cost per unit])</f>
        <v>7.64</v>
      </c>
      <c r="I67">
        <f>Data[[#This Row],[cost per unit]]*Data[[#This Row],[Units]]</f>
        <v>1833.6</v>
      </c>
    </row>
    <row r="68" spans="3:9" x14ac:dyDescent="0.25">
      <c r="C68" t="s">
        <v>41</v>
      </c>
      <c r="D68" t="s">
        <v>37</v>
      </c>
      <c r="E68" t="s">
        <v>30</v>
      </c>
      <c r="F68" s="23">
        <v>1526</v>
      </c>
      <c r="G68">
        <v>240</v>
      </c>
      <c r="H68">
        <f>_xlfn.XLOOKUP(Data[[#This Row],[Product]],products[Product],products[Cost per unit])</f>
        <v>14.49</v>
      </c>
      <c r="I68">
        <f>Data[[#This Row],[cost per unit]]*Data[[#This Row],[Units]]</f>
        <v>3477.6</v>
      </c>
    </row>
    <row r="69" spans="3:9" x14ac:dyDescent="0.25">
      <c r="C69" t="s">
        <v>9</v>
      </c>
      <c r="D69" t="s">
        <v>35</v>
      </c>
      <c r="E69" t="s">
        <v>15</v>
      </c>
      <c r="F69" s="23">
        <v>7833</v>
      </c>
      <c r="G69">
        <v>243</v>
      </c>
      <c r="H69">
        <f>_xlfn.XLOOKUP(Data[[#This Row],[Product]],products[Product],products[Cost per unit])</f>
        <v>11.73</v>
      </c>
      <c r="I69">
        <f>Data[[#This Row],[cost per unit]]*Data[[#This Row],[Units]]</f>
        <v>2850.3900000000003</v>
      </c>
    </row>
    <row r="70" spans="3:9" x14ac:dyDescent="0.25">
      <c r="C70" t="s">
        <v>5</v>
      </c>
      <c r="D70" t="s">
        <v>35</v>
      </c>
      <c r="E70" t="s">
        <v>31</v>
      </c>
      <c r="F70" s="23">
        <v>4753</v>
      </c>
      <c r="G70">
        <v>246</v>
      </c>
      <c r="H70">
        <f>_xlfn.XLOOKUP(Data[[#This Row],[Product]],products[Product],products[Cost per unit])</f>
        <v>5.79</v>
      </c>
      <c r="I70">
        <f>Data[[#This Row],[cost per unit]]*Data[[#This Row],[Units]]</f>
        <v>1424.34</v>
      </c>
    </row>
    <row r="71" spans="3:9" x14ac:dyDescent="0.25">
      <c r="C71" t="s">
        <v>7</v>
      </c>
      <c r="D71" t="s">
        <v>39</v>
      </c>
      <c r="E71" t="s">
        <v>17</v>
      </c>
      <c r="F71" s="23">
        <v>4438</v>
      </c>
      <c r="G71">
        <v>246</v>
      </c>
      <c r="H71">
        <f>_xlfn.XLOOKUP(Data[[#This Row],[Product]],products[Product],products[Cost per unit])</f>
        <v>3.11</v>
      </c>
      <c r="I71">
        <f>Data[[#This Row],[cost per unit]]*Data[[#This Row],[Units]]</f>
        <v>765.06</v>
      </c>
    </row>
    <row r="72" spans="3:9" x14ac:dyDescent="0.25">
      <c r="C72" t="s">
        <v>2</v>
      </c>
      <c r="D72" t="s">
        <v>36</v>
      </c>
      <c r="E72" t="s">
        <v>31</v>
      </c>
      <c r="F72" s="23">
        <v>3094</v>
      </c>
      <c r="G72">
        <v>246</v>
      </c>
      <c r="H72">
        <f>_xlfn.XLOOKUP(Data[[#This Row],[Product]],products[Product],products[Cost per unit])</f>
        <v>5.79</v>
      </c>
      <c r="I72">
        <f>Data[[#This Row],[cost per unit]]*Data[[#This Row],[Units]]</f>
        <v>1424.34</v>
      </c>
    </row>
    <row r="73" spans="3:9" x14ac:dyDescent="0.25">
      <c r="C73" t="s">
        <v>9</v>
      </c>
      <c r="D73" t="s">
        <v>37</v>
      </c>
      <c r="E73" t="s">
        <v>26</v>
      </c>
      <c r="F73" s="23">
        <v>2856</v>
      </c>
      <c r="G73">
        <v>246</v>
      </c>
      <c r="H73">
        <f>_xlfn.XLOOKUP(Data[[#This Row],[Product]],products[Product],products[Cost per unit])</f>
        <v>5.6</v>
      </c>
      <c r="I73">
        <f>Data[[#This Row],[cost per unit]]*Data[[#This Row],[Units]]</f>
        <v>1377.6</v>
      </c>
    </row>
    <row r="74" spans="3:9" x14ac:dyDescent="0.25">
      <c r="C74" t="s">
        <v>5</v>
      </c>
      <c r="D74" t="s">
        <v>39</v>
      </c>
      <c r="E74" t="s">
        <v>18</v>
      </c>
      <c r="F74" s="23">
        <v>385</v>
      </c>
      <c r="G74">
        <v>249</v>
      </c>
      <c r="H74">
        <f>_xlfn.XLOOKUP(Data[[#This Row],[Product]],products[Product],products[Cost per unit])</f>
        <v>6.47</v>
      </c>
      <c r="I74">
        <f>Data[[#This Row],[cost per unit]]*Data[[#This Row],[Units]]</f>
        <v>1611.03</v>
      </c>
    </row>
    <row r="75" spans="3:9" x14ac:dyDescent="0.25">
      <c r="C75" t="s">
        <v>7</v>
      </c>
      <c r="D75" t="s">
        <v>35</v>
      </c>
      <c r="E75" t="s">
        <v>30</v>
      </c>
      <c r="F75" s="23">
        <v>6755</v>
      </c>
      <c r="G75">
        <v>252</v>
      </c>
      <c r="H75">
        <f>_xlfn.XLOOKUP(Data[[#This Row],[Product]],products[Product],products[Cost per unit])</f>
        <v>14.49</v>
      </c>
      <c r="I75">
        <f>Data[[#This Row],[cost per unit]]*Data[[#This Row],[Units]]</f>
        <v>3651.48</v>
      </c>
    </row>
    <row r="76" spans="3:9" x14ac:dyDescent="0.25">
      <c r="C76" t="s">
        <v>7</v>
      </c>
      <c r="D76" t="s">
        <v>36</v>
      </c>
      <c r="E76" t="s">
        <v>29</v>
      </c>
      <c r="F76" s="23">
        <v>5551</v>
      </c>
      <c r="G76">
        <v>252</v>
      </c>
      <c r="H76">
        <f>_xlfn.XLOOKUP(Data[[#This Row],[Product]],products[Product],products[Cost per unit])</f>
        <v>7.16</v>
      </c>
      <c r="I76">
        <f>Data[[#This Row],[cost per unit]]*Data[[#This Row],[Units]]</f>
        <v>1804.32</v>
      </c>
    </row>
    <row r="77" spans="3:9" x14ac:dyDescent="0.25">
      <c r="C77" t="s">
        <v>3</v>
      </c>
      <c r="D77" t="s">
        <v>35</v>
      </c>
      <c r="E77" t="s">
        <v>14</v>
      </c>
      <c r="F77" s="23">
        <v>2415</v>
      </c>
      <c r="G77">
        <v>255</v>
      </c>
      <c r="H77">
        <f>_xlfn.XLOOKUP(Data[[#This Row],[Product]],products[Product],products[Cost per unit])</f>
        <v>11.7</v>
      </c>
      <c r="I77">
        <f>Data[[#This Row],[cost per unit]]*Data[[#This Row],[Units]]</f>
        <v>2983.5</v>
      </c>
    </row>
    <row r="78" spans="3:9" x14ac:dyDescent="0.25">
      <c r="C78" t="s">
        <v>7</v>
      </c>
      <c r="D78" t="s">
        <v>38</v>
      </c>
      <c r="E78" t="s">
        <v>28</v>
      </c>
      <c r="F78" s="23">
        <v>5677</v>
      </c>
      <c r="G78">
        <v>258</v>
      </c>
      <c r="H78">
        <f>_xlfn.XLOOKUP(Data[[#This Row],[Product]],products[Product],products[Cost per unit])</f>
        <v>10.38</v>
      </c>
      <c r="I78">
        <f>Data[[#This Row],[cost per unit]]*Data[[#This Row],[Units]]</f>
        <v>2678.0400000000004</v>
      </c>
    </row>
    <row r="79" spans="3:9" x14ac:dyDescent="0.25">
      <c r="C79" t="s">
        <v>10</v>
      </c>
      <c r="D79" t="s">
        <v>36</v>
      </c>
      <c r="E79" t="s">
        <v>23</v>
      </c>
      <c r="F79" s="23">
        <v>2317</v>
      </c>
      <c r="G79">
        <v>261</v>
      </c>
      <c r="H79">
        <f>_xlfn.XLOOKUP(Data[[#This Row],[Product]],products[Product],products[Cost per unit])</f>
        <v>6.49</v>
      </c>
      <c r="I79">
        <f>Data[[#This Row],[cost per unit]]*Data[[#This Row],[Units]]</f>
        <v>1693.89</v>
      </c>
    </row>
    <row r="80" spans="3:9" x14ac:dyDescent="0.25">
      <c r="C80" t="s">
        <v>7</v>
      </c>
      <c r="D80" t="s">
        <v>38</v>
      </c>
      <c r="E80" t="s">
        <v>18</v>
      </c>
      <c r="F80" s="23">
        <v>1778</v>
      </c>
      <c r="G80">
        <v>270</v>
      </c>
      <c r="H80">
        <f>_xlfn.XLOOKUP(Data[[#This Row],[Product]],products[Product],products[Cost per unit])</f>
        <v>6.47</v>
      </c>
      <c r="I80">
        <f>Data[[#This Row],[cost per unit]]*Data[[#This Row],[Units]]</f>
        <v>1746.8999999999999</v>
      </c>
    </row>
    <row r="81" spans="3:9" x14ac:dyDescent="0.25">
      <c r="C81" t="s">
        <v>6</v>
      </c>
      <c r="D81" t="s">
        <v>35</v>
      </c>
      <c r="E81" t="s">
        <v>20</v>
      </c>
      <c r="F81" s="23">
        <v>1071</v>
      </c>
      <c r="G81">
        <v>270</v>
      </c>
      <c r="H81">
        <f>_xlfn.XLOOKUP(Data[[#This Row],[Product]],products[Product],products[Cost per unit])</f>
        <v>10.62</v>
      </c>
      <c r="I81">
        <f>Data[[#This Row],[cost per unit]]*Data[[#This Row],[Units]]</f>
        <v>2867.3999999999996</v>
      </c>
    </row>
    <row r="82" spans="3:9" x14ac:dyDescent="0.25">
      <c r="C82" t="s">
        <v>9</v>
      </c>
      <c r="D82" t="s">
        <v>37</v>
      </c>
      <c r="E82" t="s">
        <v>29</v>
      </c>
      <c r="F82" s="23">
        <v>1085</v>
      </c>
      <c r="G82">
        <v>273</v>
      </c>
      <c r="H82">
        <f>_xlfn.XLOOKUP(Data[[#This Row],[Product]],products[Product],products[Cost per unit])</f>
        <v>7.16</v>
      </c>
      <c r="I82">
        <f>Data[[#This Row],[cost per unit]]*Data[[#This Row],[Units]]</f>
        <v>1954.68</v>
      </c>
    </row>
    <row r="83" spans="3:9" x14ac:dyDescent="0.25">
      <c r="C83" t="s">
        <v>3</v>
      </c>
      <c r="D83" t="s">
        <v>34</v>
      </c>
      <c r="E83" t="s">
        <v>14</v>
      </c>
      <c r="F83" s="23">
        <v>7259</v>
      </c>
      <c r="G83">
        <v>276</v>
      </c>
      <c r="H83">
        <f>_xlfn.XLOOKUP(Data[[#This Row],[Product]],products[Product],products[Cost per unit])</f>
        <v>11.7</v>
      </c>
      <c r="I83">
        <f>Data[[#This Row],[cost per unit]]*Data[[#This Row],[Units]]</f>
        <v>3229.2</v>
      </c>
    </row>
    <row r="84" spans="3:9" x14ac:dyDescent="0.25">
      <c r="C84" t="s">
        <v>3</v>
      </c>
      <c r="D84" t="s">
        <v>35</v>
      </c>
      <c r="E84" t="s">
        <v>15</v>
      </c>
      <c r="F84" s="23">
        <v>6657</v>
      </c>
      <c r="G84">
        <v>276</v>
      </c>
      <c r="H84">
        <f>_xlfn.XLOOKUP(Data[[#This Row],[Product]],products[Product],products[Cost per unit])</f>
        <v>11.73</v>
      </c>
      <c r="I84">
        <f>Data[[#This Row],[cost per unit]]*Data[[#This Row],[Units]]</f>
        <v>3237.48</v>
      </c>
    </row>
    <row r="85" spans="3:9" x14ac:dyDescent="0.25">
      <c r="C85" t="s">
        <v>10</v>
      </c>
      <c r="D85" t="s">
        <v>39</v>
      </c>
      <c r="E85" t="s">
        <v>21</v>
      </c>
      <c r="F85" s="23">
        <v>4858</v>
      </c>
      <c r="G85">
        <v>279</v>
      </c>
      <c r="H85">
        <f>_xlfn.XLOOKUP(Data[[#This Row],[Product]],products[Product],products[Cost per unit])</f>
        <v>9</v>
      </c>
      <c r="I85">
        <f>Data[[#This Row],[cost per unit]]*Data[[#This Row],[Units]]</f>
        <v>2511</v>
      </c>
    </row>
    <row r="86" spans="3:9" x14ac:dyDescent="0.25">
      <c r="C86" t="s">
        <v>10</v>
      </c>
      <c r="D86" t="s">
        <v>35</v>
      </c>
      <c r="E86" t="s">
        <v>18</v>
      </c>
      <c r="F86" s="23">
        <v>3808</v>
      </c>
      <c r="G86">
        <v>279</v>
      </c>
      <c r="H86">
        <f>_xlfn.XLOOKUP(Data[[#This Row],[Product]],products[Product],products[Cost per unit])</f>
        <v>6.47</v>
      </c>
      <c r="I86">
        <f>Data[[#This Row],[cost per unit]]*Data[[#This Row],[Units]]</f>
        <v>1805.1299999999999</v>
      </c>
    </row>
    <row r="87" spans="3:9" x14ac:dyDescent="0.25">
      <c r="C87" t="s">
        <v>6</v>
      </c>
      <c r="D87" t="s">
        <v>38</v>
      </c>
      <c r="E87" t="s">
        <v>27</v>
      </c>
      <c r="F87" s="23">
        <v>1134</v>
      </c>
      <c r="G87">
        <v>282</v>
      </c>
      <c r="H87">
        <f>_xlfn.XLOOKUP(Data[[#This Row],[Product]],products[Product],products[Cost per unit])</f>
        <v>16.73</v>
      </c>
      <c r="I87">
        <f>Data[[#This Row],[cost per unit]]*Data[[#This Row],[Units]]</f>
        <v>4717.8599999999997</v>
      </c>
    </row>
    <row r="88" spans="3:9" x14ac:dyDescent="0.25">
      <c r="C88" t="s">
        <v>41</v>
      </c>
      <c r="D88" t="s">
        <v>36</v>
      </c>
      <c r="E88" t="s">
        <v>18</v>
      </c>
      <c r="F88" s="23">
        <v>9632</v>
      </c>
      <c r="G88">
        <v>288</v>
      </c>
      <c r="H88">
        <f>_xlfn.XLOOKUP(Data[[#This Row],[Product]],products[Product],products[Cost per unit])</f>
        <v>6.47</v>
      </c>
      <c r="I88">
        <f>Data[[#This Row],[cost per unit]]*Data[[#This Row],[Units]]</f>
        <v>1863.36</v>
      </c>
    </row>
    <row r="89" spans="3:9" x14ac:dyDescent="0.25">
      <c r="C89" t="s">
        <v>7</v>
      </c>
      <c r="D89" t="s">
        <v>35</v>
      </c>
      <c r="E89" t="s">
        <v>28</v>
      </c>
      <c r="F89" s="23">
        <v>5194</v>
      </c>
      <c r="G89">
        <v>288</v>
      </c>
      <c r="H89">
        <f>_xlfn.XLOOKUP(Data[[#This Row],[Product]],products[Product],products[Cost per unit])</f>
        <v>10.38</v>
      </c>
      <c r="I89">
        <f>Data[[#This Row],[cost per unit]]*Data[[#This Row],[Units]]</f>
        <v>2989.44</v>
      </c>
    </row>
    <row r="90" spans="3:9" x14ac:dyDescent="0.25">
      <c r="C90" t="s">
        <v>8</v>
      </c>
      <c r="D90" t="s">
        <v>34</v>
      </c>
      <c r="E90" t="s">
        <v>31</v>
      </c>
      <c r="F90" s="23">
        <v>3507</v>
      </c>
      <c r="G90">
        <v>288</v>
      </c>
      <c r="H90">
        <f>_xlfn.XLOOKUP(Data[[#This Row],[Product]],products[Product],products[Cost per unit])</f>
        <v>5.79</v>
      </c>
      <c r="I90">
        <f>Data[[#This Row],[cost per unit]]*Data[[#This Row],[Units]]</f>
        <v>1667.52</v>
      </c>
    </row>
    <row r="91" spans="3:9" x14ac:dyDescent="0.25">
      <c r="C91" t="s">
        <v>10</v>
      </c>
      <c r="D91" t="s">
        <v>37</v>
      </c>
      <c r="E91" t="s">
        <v>21</v>
      </c>
      <c r="F91" s="23">
        <v>245</v>
      </c>
      <c r="G91">
        <v>288</v>
      </c>
      <c r="H91">
        <f>_xlfn.XLOOKUP(Data[[#This Row],[Product]],products[Product],products[Cost per unit])</f>
        <v>9</v>
      </c>
      <c r="I91">
        <f>Data[[#This Row],[cost per unit]]*Data[[#This Row],[Units]]</f>
        <v>2592</v>
      </c>
    </row>
    <row r="92" spans="3:9" x14ac:dyDescent="0.25">
      <c r="C92" t="s">
        <v>40</v>
      </c>
      <c r="D92" t="s">
        <v>38</v>
      </c>
      <c r="E92" t="s">
        <v>13</v>
      </c>
      <c r="F92" s="23">
        <v>5670</v>
      </c>
      <c r="G92">
        <v>297</v>
      </c>
      <c r="H92">
        <f>_xlfn.XLOOKUP(Data[[#This Row],[Product]],products[Product],products[Cost per unit])</f>
        <v>9.33</v>
      </c>
      <c r="I92">
        <f>Data[[#This Row],[cost per unit]]*Data[[#This Row],[Units]]</f>
        <v>2771.01</v>
      </c>
    </row>
    <row r="93" spans="3:9" x14ac:dyDescent="0.25">
      <c r="C93" t="s">
        <v>8</v>
      </c>
      <c r="D93" t="s">
        <v>35</v>
      </c>
      <c r="E93" t="s">
        <v>27</v>
      </c>
      <c r="F93" s="23">
        <v>4753</v>
      </c>
      <c r="G93">
        <v>300</v>
      </c>
      <c r="H93">
        <f>_xlfn.XLOOKUP(Data[[#This Row],[Product]],products[Product],products[Cost per unit])</f>
        <v>16.73</v>
      </c>
      <c r="I93">
        <f>Data[[#This Row],[cost per unit]]*Data[[#This Row],[Units]]</f>
        <v>5019</v>
      </c>
    </row>
    <row r="94" spans="3:9" x14ac:dyDescent="0.25">
      <c r="C94" t="s">
        <v>7</v>
      </c>
      <c r="D94" t="s">
        <v>36</v>
      </c>
      <c r="E94" t="s">
        <v>19</v>
      </c>
      <c r="F94" s="23">
        <v>2870</v>
      </c>
      <c r="G94">
        <v>300</v>
      </c>
      <c r="H94">
        <f>_xlfn.XLOOKUP(Data[[#This Row],[Product]],products[Product],products[Cost per unit])</f>
        <v>7.64</v>
      </c>
      <c r="I94">
        <f>Data[[#This Row],[cost per unit]]*Data[[#This Row],[Units]]</f>
        <v>2292</v>
      </c>
    </row>
    <row r="95" spans="3:9" x14ac:dyDescent="0.25">
      <c r="C95" t="s">
        <v>3</v>
      </c>
      <c r="D95" t="s">
        <v>38</v>
      </c>
      <c r="E95" t="s">
        <v>26</v>
      </c>
      <c r="F95" s="23">
        <v>8841</v>
      </c>
      <c r="G95">
        <v>303</v>
      </c>
      <c r="H95">
        <f>_xlfn.XLOOKUP(Data[[#This Row],[Product]],products[Product],products[Cost per unit])</f>
        <v>5.6</v>
      </c>
      <c r="I95">
        <f>Data[[#This Row],[cost per unit]]*Data[[#This Row],[Units]]</f>
        <v>1696.8</v>
      </c>
    </row>
    <row r="96" spans="3:9" x14ac:dyDescent="0.25">
      <c r="C96" t="s">
        <v>10</v>
      </c>
      <c r="D96" t="s">
        <v>36</v>
      </c>
      <c r="E96" t="s">
        <v>32</v>
      </c>
      <c r="F96" s="23">
        <v>6657</v>
      </c>
      <c r="G96">
        <v>303</v>
      </c>
      <c r="H96">
        <f>_xlfn.XLOOKUP(Data[[#This Row],[Product]],products[Product],products[Cost per unit])</f>
        <v>8.65</v>
      </c>
      <c r="I96">
        <f>Data[[#This Row],[cost per unit]]*Data[[#This Row],[Units]]</f>
        <v>2620.9500000000003</v>
      </c>
    </row>
    <row r="97" spans="3:9" x14ac:dyDescent="0.25">
      <c r="C97" t="s">
        <v>2</v>
      </c>
      <c r="D97" t="s">
        <v>35</v>
      </c>
      <c r="E97" t="s">
        <v>17</v>
      </c>
      <c r="F97" s="23">
        <v>1589</v>
      </c>
      <c r="G97">
        <v>303</v>
      </c>
      <c r="H97">
        <f>_xlfn.XLOOKUP(Data[[#This Row],[Product]],products[Product],products[Cost per unit])</f>
        <v>3.11</v>
      </c>
      <c r="I97">
        <f>Data[[#This Row],[cost per unit]]*Data[[#This Row],[Units]]</f>
        <v>942.32999999999993</v>
      </c>
    </row>
    <row r="98" spans="3:9" x14ac:dyDescent="0.25">
      <c r="C98" t="s">
        <v>9</v>
      </c>
      <c r="D98" t="s">
        <v>39</v>
      </c>
      <c r="E98" t="s">
        <v>24</v>
      </c>
      <c r="F98" s="23">
        <v>3920</v>
      </c>
      <c r="G98">
        <v>306</v>
      </c>
      <c r="H98">
        <f>_xlfn.XLOOKUP(Data[[#This Row],[Product]],products[Product],products[Cost per unit])</f>
        <v>4.97</v>
      </c>
      <c r="I98">
        <f>Data[[#This Row],[cost per unit]]*Data[[#This Row],[Units]]</f>
        <v>1520.82</v>
      </c>
    </row>
    <row r="99" spans="3:9" x14ac:dyDescent="0.25">
      <c r="C99" t="s">
        <v>40</v>
      </c>
      <c r="D99" t="s">
        <v>36</v>
      </c>
      <c r="E99" t="s">
        <v>27</v>
      </c>
      <c r="F99" s="23">
        <v>3164</v>
      </c>
      <c r="G99">
        <v>306</v>
      </c>
      <c r="H99">
        <f>_xlfn.XLOOKUP(Data[[#This Row],[Product]],products[Product],products[Cost per unit])</f>
        <v>16.73</v>
      </c>
      <c r="I99">
        <f>Data[[#This Row],[cost per unit]]*Data[[#This Row],[Units]]</f>
        <v>5119.38</v>
      </c>
    </row>
    <row r="100" spans="3:9" x14ac:dyDescent="0.25">
      <c r="C100" t="s">
        <v>3</v>
      </c>
      <c r="D100" t="s">
        <v>35</v>
      </c>
      <c r="E100" t="s">
        <v>33</v>
      </c>
      <c r="F100" s="23">
        <v>819</v>
      </c>
      <c r="G100">
        <v>306</v>
      </c>
      <c r="H100">
        <f>_xlfn.XLOOKUP(Data[[#This Row],[Product]],products[Product],products[Cost per unit])</f>
        <v>12.37</v>
      </c>
      <c r="I100">
        <f>Data[[#This Row],[cost per unit]]*Data[[#This Row],[Units]]</f>
        <v>3785.22</v>
      </c>
    </row>
    <row r="101" spans="3:9" x14ac:dyDescent="0.25">
      <c r="C101" t="s">
        <v>41</v>
      </c>
      <c r="D101" t="s">
        <v>36</v>
      </c>
      <c r="E101" t="s">
        <v>28</v>
      </c>
      <c r="F101" s="23">
        <v>854</v>
      </c>
      <c r="G101">
        <v>309</v>
      </c>
      <c r="H101">
        <f>_xlfn.XLOOKUP(Data[[#This Row],[Product]],products[Product],products[Cost per unit])</f>
        <v>10.38</v>
      </c>
      <c r="I101">
        <f>Data[[#This Row],[cost per unit]]*Data[[#This Row],[Units]]</f>
        <v>3207.42</v>
      </c>
    </row>
    <row r="102" spans="3:9" x14ac:dyDescent="0.25">
      <c r="C102" t="s">
        <v>7</v>
      </c>
      <c r="D102" t="s">
        <v>38</v>
      </c>
      <c r="E102" t="s">
        <v>30</v>
      </c>
      <c r="F102" s="23">
        <v>10129</v>
      </c>
      <c r="G102">
        <v>312</v>
      </c>
      <c r="H102">
        <f>_xlfn.XLOOKUP(Data[[#This Row],[Product]],products[Product],products[Cost per unit])</f>
        <v>14.49</v>
      </c>
      <c r="I102">
        <f>Data[[#This Row],[cost per unit]]*Data[[#This Row],[Units]]</f>
        <v>4520.88</v>
      </c>
    </row>
    <row r="103" spans="3:9" x14ac:dyDescent="0.25">
      <c r="C103" t="s">
        <v>3</v>
      </c>
      <c r="D103" t="s">
        <v>34</v>
      </c>
      <c r="E103" t="s">
        <v>28</v>
      </c>
      <c r="F103" s="23">
        <v>3689</v>
      </c>
      <c r="G103">
        <v>312</v>
      </c>
      <c r="H103">
        <f>_xlfn.XLOOKUP(Data[[#This Row],[Product]],products[Product],products[Cost per unit])</f>
        <v>10.38</v>
      </c>
      <c r="I103">
        <f>Data[[#This Row],[cost per unit]]*Data[[#This Row],[Units]]</f>
        <v>3238.5600000000004</v>
      </c>
    </row>
    <row r="104" spans="3:9" x14ac:dyDescent="0.25">
      <c r="C104" t="s">
        <v>3</v>
      </c>
      <c r="D104" t="s">
        <v>37</v>
      </c>
      <c r="E104" t="s">
        <v>29</v>
      </c>
      <c r="F104" s="23">
        <v>4592</v>
      </c>
      <c r="G104">
        <v>324</v>
      </c>
      <c r="H104">
        <f>_xlfn.XLOOKUP(Data[[#This Row],[Product]],products[Product],products[Cost per unit])</f>
        <v>7.16</v>
      </c>
      <c r="I104">
        <f>Data[[#This Row],[cost per unit]]*Data[[#This Row],[Units]]</f>
        <v>2319.84</v>
      </c>
    </row>
    <row r="105" spans="3:9" x14ac:dyDescent="0.25">
      <c r="C105" t="s">
        <v>3</v>
      </c>
      <c r="D105" t="s">
        <v>37</v>
      </c>
      <c r="E105" t="s">
        <v>28</v>
      </c>
      <c r="F105" s="23">
        <v>7308</v>
      </c>
      <c r="G105">
        <v>327</v>
      </c>
      <c r="H105">
        <f>_xlfn.XLOOKUP(Data[[#This Row],[Product]],products[Product],products[Cost per unit])</f>
        <v>10.38</v>
      </c>
      <c r="I105">
        <f>Data[[#This Row],[cost per unit]]*Data[[#This Row],[Units]]</f>
        <v>3394.26</v>
      </c>
    </row>
    <row r="106" spans="3:9" x14ac:dyDescent="0.25">
      <c r="C106" t="s">
        <v>7</v>
      </c>
      <c r="D106" t="s">
        <v>37</v>
      </c>
      <c r="E106" t="s">
        <v>16</v>
      </c>
      <c r="F106" s="23">
        <v>4487</v>
      </c>
      <c r="G106">
        <v>333</v>
      </c>
      <c r="H106">
        <f>_xlfn.XLOOKUP(Data[[#This Row],[Product]],products[Product],products[Cost per unit])</f>
        <v>8.7899999999999991</v>
      </c>
      <c r="I106">
        <f>Data[[#This Row],[cost per unit]]*Data[[#This Row],[Units]]</f>
        <v>2927.0699999999997</v>
      </c>
    </row>
    <row r="107" spans="3:9" x14ac:dyDescent="0.25">
      <c r="C107" t="s">
        <v>5</v>
      </c>
      <c r="D107" t="s">
        <v>34</v>
      </c>
      <c r="E107" t="s">
        <v>20</v>
      </c>
      <c r="F107" s="23">
        <v>15610</v>
      </c>
      <c r="G107">
        <v>339</v>
      </c>
      <c r="H107">
        <f>_xlfn.XLOOKUP(Data[[#This Row],[Product]],products[Product],products[Cost per unit])</f>
        <v>10.62</v>
      </c>
      <c r="I107">
        <f>Data[[#This Row],[cost per unit]]*Data[[#This Row],[Units]]</f>
        <v>3600.18</v>
      </c>
    </row>
    <row r="108" spans="3:9" x14ac:dyDescent="0.25">
      <c r="C108" t="s">
        <v>10</v>
      </c>
      <c r="D108" t="s">
        <v>36</v>
      </c>
      <c r="E108" t="s">
        <v>29</v>
      </c>
      <c r="F108" s="23">
        <v>2471</v>
      </c>
      <c r="G108">
        <v>342</v>
      </c>
      <c r="H108">
        <f>_xlfn.XLOOKUP(Data[[#This Row],[Product]],products[Product],products[Cost per unit])</f>
        <v>7.16</v>
      </c>
      <c r="I108">
        <f>Data[[#This Row],[cost per unit]]*Data[[#This Row],[Units]]</f>
        <v>2448.7200000000003</v>
      </c>
    </row>
    <row r="109" spans="3:9" x14ac:dyDescent="0.25">
      <c r="C109" t="s">
        <v>2</v>
      </c>
      <c r="D109" t="s">
        <v>38</v>
      </c>
      <c r="E109" t="s">
        <v>31</v>
      </c>
      <c r="F109" s="23">
        <v>4326</v>
      </c>
      <c r="G109">
        <v>348</v>
      </c>
      <c r="H109">
        <f>_xlfn.XLOOKUP(Data[[#This Row],[Product]],products[Product],products[Cost per unit])</f>
        <v>5.79</v>
      </c>
      <c r="I109">
        <f>Data[[#This Row],[cost per unit]]*Data[[#This Row],[Units]]</f>
        <v>2014.92</v>
      </c>
    </row>
    <row r="110" spans="3:9" x14ac:dyDescent="0.25">
      <c r="C110" t="s">
        <v>5</v>
      </c>
      <c r="D110" t="s">
        <v>36</v>
      </c>
      <c r="E110" t="s">
        <v>17</v>
      </c>
      <c r="F110" s="23">
        <v>3339</v>
      </c>
      <c r="G110">
        <v>348</v>
      </c>
      <c r="H110">
        <f>_xlfn.XLOOKUP(Data[[#This Row],[Product]],products[Product],products[Cost per unit])</f>
        <v>3.11</v>
      </c>
      <c r="I110">
        <f>Data[[#This Row],[cost per unit]]*Data[[#This Row],[Units]]</f>
        <v>1082.28</v>
      </c>
    </row>
    <row r="111" spans="3:9" x14ac:dyDescent="0.25">
      <c r="C111" t="s">
        <v>5</v>
      </c>
      <c r="D111" t="s">
        <v>35</v>
      </c>
      <c r="E111" t="s">
        <v>29</v>
      </c>
      <c r="F111" s="23">
        <v>4480</v>
      </c>
      <c r="G111">
        <v>357</v>
      </c>
      <c r="H111">
        <f>_xlfn.XLOOKUP(Data[[#This Row],[Product]],products[Product],products[Cost per unit])</f>
        <v>7.16</v>
      </c>
      <c r="I111">
        <f>Data[[#This Row],[cost per unit]]*Data[[#This Row],[Units]]</f>
        <v>2556.12</v>
      </c>
    </row>
    <row r="112" spans="3:9" x14ac:dyDescent="0.25">
      <c r="C112" t="s">
        <v>8</v>
      </c>
      <c r="D112" t="s">
        <v>35</v>
      </c>
      <c r="E112" t="s">
        <v>20</v>
      </c>
      <c r="F112" s="23">
        <v>2702</v>
      </c>
      <c r="G112">
        <v>363</v>
      </c>
      <c r="H112">
        <f>_xlfn.XLOOKUP(Data[[#This Row],[Product]],products[Product],products[Cost per unit])</f>
        <v>10.62</v>
      </c>
      <c r="I112">
        <f>Data[[#This Row],[cost per unit]]*Data[[#This Row],[Units]]</f>
        <v>3855.0599999999995</v>
      </c>
    </row>
    <row r="113" spans="3:9" x14ac:dyDescent="0.25">
      <c r="C113" t="s">
        <v>6</v>
      </c>
      <c r="D113" t="s">
        <v>34</v>
      </c>
      <c r="E113" t="s">
        <v>30</v>
      </c>
      <c r="F113" s="23">
        <v>3402</v>
      </c>
      <c r="G113">
        <v>366</v>
      </c>
      <c r="H113">
        <f>_xlfn.XLOOKUP(Data[[#This Row],[Product]],products[Product],products[Cost per unit])</f>
        <v>14.49</v>
      </c>
      <c r="I113">
        <f>Data[[#This Row],[cost per unit]]*Data[[#This Row],[Units]]</f>
        <v>5303.34</v>
      </c>
    </row>
    <row r="114" spans="3:9" x14ac:dyDescent="0.25">
      <c r="C114" t="s">
        <v>3</v>
      </c>
      <c r="D114" t="s">
        <v>37</v>
      </c>
      <c r="E114" t="s">
        <v>4</v>
      </c>
      <c r="F114" s="23">
        <v>938</v>
      </c>
      <c r="G114">
        <v>366</v>
      </c>
      <c r="H114">
        <f>_xlfn.XLOOKUP(Data[[#This Row],[Product]],products[Product],products[Cost per unit])</f>
        <v>11.88</v>
      </c>
      <c r="I114">
        <f>Data[[#This Row],[cost per unit]]*Data[[#This Row],[Units]]</f>
        <v>4348.08</v>
      </c>
    </row>
    <row r="115" spans="3:9" x14ac:dyDescent="0.25">
      <c r="C115" t="s">
        <v>7</v>
      </c>
      <c r="D115" t="s">
        <v>34</v>
      </c>
      <c r="E115" t="s">
        <v>14</v>
      </c>
      <c r="F115" s="23">
        <v>1932</v>
      </c>
      <c r="G115">
        <v>369</v>
      </c>
      <c r="H115">
        <f>_xlfn.XLOOKUP(Data[[#This Row],[Product]],products[Product],products[Cost per unit])</f>
        <v>11.7</v>
      </c>
      <c r="I115">
        <f>Data[[#This Row],[cost per unit]]*Data[[#This Row],[Units]]</f>
        <v>4317.3</v>
      </c>
    </row>
    <row r="116" spans="3:9" x14ac:dyDescent="0.25">
      <c r="C116" t="s">
        <v>40</v>
      </c>
      <c r="D116" t="s">
        <v>35</v>
      </c>
      <c r="E116" t="s">
        <v>22</v>
      </c>
      <c r="F116" s="23">
        <v>6853</v>
      </c>
      <c r="G116">
        <v>372</v>
      </c>
      <c r="H116">
        <f>_xlfn.XLOOKUP(Data[[#This Row],[Product]],products[Product],products[Cost per unit])</f>
        <v>9.77</v>
      </c>
      <c r="I116">
        <f>Data[[#This Row],[cost per unit]]*Data[[#This Row],[Units]]</f>
        <v>3634.44</v>
      </c>
    </row>
    <row r="117" spans="3:9" x14ac:dyDescent="0.25">
      <c r="C117" t="s">
        <v>6</v>
      </c>
      <c r="D117" t="s">
        <v>39</v>
      </c>
      <c r="E117" t="s">
        <v>29</v>
      </c>
      <c r="F117" s="23">
        <v>3052</v>
      </c>
      <c r="G117">
        <v>378</v>
      </c>
      <c r="H117">
        <f>_xlfn.XLOOKUP(Data[[#This Row],[Product]],products[Product],products[Cost per unit])</f>
        <v>7.16</v>
      </c>
      <c r="I117">
        <f>Data[[#This Row],[cost per unit]]*Data[[#This Row],[Units]]</f>
        <v>2706.48</v>
      </c>
    </row>
    <row r="118" spans="3:9" x14ac:dyDescent="0.25">
      <c r="C118" t="s">
        <v>6</v>
      </c>
      <c r="D118" t="s">
        <v>35</v>
      </c>
      <c r="E118" t="s">
        <v>4</v>
      </c>
      <c r="F118" s="23">
        <v>1302</v>
      </c>
      <c r="G118">
        <v>402</v>
      </c>
      <c r="H118">
        <f>_xlfn.XLOOKUP(Data[[#This Row],[Product]],products[Product],products[Cost per unit])</f>
        <v>11.88</v>
      </c>
      <c r="I118">
        <f>Data[[#This Row],[cost per unit]]*Data[[#This Row],[Units]]</f>
        <v>4775.76</v>
      </c>
    </row>
    <row r="119" spans="3:9" x14ac:dyDescent="0.25">
      <c r="C119" t="s">
        <v>6</v>
      </c>
      <c r="D119" t="s">
        <v>37</v>
      </c>
      <c r="E119" t="s">
        <v>16</v>
      </c>
      <c r="F119" s="23">
        <v>1904</v>
      </c>
      <c r="G119">
        <v>405</v>
      </c>
      <c r="H119">
        <f>_xlfn.XLOOKUP(Data[[#This Row],[Product]],products[Product],products[Cost per unit])</f>
        <v>8.7899999999999991</v>
      </c>
      <c r="I119">
        <f>Data[[#This Row],[cost per unit]]*Data[[#This Row],[Units]]</f>
        <v>3559.95</v>
      </c>
    </row>
    <row r="120" spans="3:9" x14ac:dyDescent="0.25">
      <c r="C120" t="s">
        <v>6</v>
      </c>
      <c r="D120" t="s">
        <v>39</v>
      </c>
      <c r="E120" t="s">
        <v>25</v>
      </c>
      <c r="F120" s="23">
        <v>2100</v>
      </c>
      <c r="G120">
        <v>414</v>
      </c>
      <c r="H120">
        <f>_xlfn.XLOOKUP(Data[[#This Row],[Product]],products[Product],products[Cost per unit])</f>
        <v>13.15</v>
      </c>
      <c r="I120">
        <f>Data[[#This Row],[cost per unit]]*Data[[#This Row],[Units]]</f>
        <v>5444.1</v>
      </c>
    </row>
    <row r="121" spans="3:9" x14ac:dyDescent="0.25">
      <c r="C121" t="s">
        <v>40</v>
      </c>
      <c r="D121" t="s">
        <v>35</v>
      </c>
      <c r="E121" t="s">
        <v>33</v>
      </c>
      <c r="F121" s="23">
        <v>8869</v>
      </c>
      <c r="G121">
        <v>432</v>
      </c>
      <c r="H121">
        <f>_xlfn.XLOOKUP(Data[[#This Row],[Product]],products[Product],products[Cost per unit])</f>
        <v>12.37</v>
      </c>
      <c r="I121">
        <f>Data[[#This Row],[cost per unit]]*Data[[#This Row],[Units]]</f>
        <v>5343.8399999999992</v>
      </c>
    </row>
    <row r="122" spans="3:9" x14ac:dyDescent="0.25">
      <c r="C122" t="s">
        <v>40</v>
      </c>
      <c r="D122" t="s">
        <v>35</v>
      </c>
      <c r="E122" t="s">
        <v>30</v>
      </c>
      <c r="F122" s="23">
        <v>2275</v>
      </c>
      <c r="G122">
        <v>447</v>
      </c>
      <c r="H122">
        <f>_xlfn.XLOOKUP(Data[[#This Row],[Product]],products[Product],products[Cost per unit])</f>
        <v>14.49</v>
      </c>
      <c r="I122">
        <f>Data[[#This Row],[cost per unit]]*Data[[#This Row],[Units]]</f>
        <v>6477.03</v>
      </c>
    </row>
    <row r="123" spans="3:9" x14ac:dyDescent="0.25">
      <c r="C123" t="s">
        <v>6</v>
      </c>
      <c r="D123" t="s">
        <v>34</v>
      </c>
      <c r="E123" t="s">
        <v>26</v>
      </c>
      <c r="F123" s="23">
        <v>8008</v>
      </c>
      <c r="G123">
        <v>456</v>
      </c>
      <c r="H123">
        <f>_xlfn.XLOOKUP(Data[[#This Row],[Product]],products[Product],products[Cost per unit])</f>
        <v>5.6</v>
      </c>
      <c r="I123">
        <f>Data[[#This Row],[cost per unit]]*Data[[#This Row],[Units]]</f>
        <v>2553.6</v>
      </c>
    </row>
    <row r="124" spans="3:9" x14ac:dyDescent="0.25">
      <c r="C124" t="s">
        <v>8</v>
      </c>
      <c r="D124" t="s">
        <v>35</v>
      </c>
      <c r="E124" t="s">
        <v>32</v>
      </c>
      <c r="F124" s="23">
        <v>6706</v>
      </c>
      <c r="G124">
        <v>459</v>
      </c>
      <c r="H124">
        <f>_xlfn.XLOOKUP(Data[[#This Row],[Product]],products[Product],products[Cost per unit])</f>
        <v>8.65</v>
      </c>
      <c r="I124">
        <f>Data[[#This Row],[cost per unit]]*Data[[#This Row],[Units]]</f>
        <v>3970.3500000000004</v>
      </c>
    </row>
    <row r="125" spans="3:9" x14ac:dyDescent="0.25">
      <c r="C125" t="s">
        <v>6</v>
      </c>
      <c r="D125" t="s">
        <v>37</v>
      </c>
      <c r="E125" t="s">
        <v>28</v>
      </c>
      <c r="F125" s="23">
        <v>3556</v>
      </c>
      <c r="G125">
        <v>459</v>
      </c>
      <c r="H125">
        <f>_xlfn.XLOOKUP(Data[[#This Row],[Product]],products[Product],products[Cost per unit])</f>
        <v>10.38</v>
      </c>
      <c r="I125">
        <f>Data[[#This Row],[cost per unit]]*Data[[#This Row],[Units]]</f>
        <v>4764.42</v>
      </c>
    </row>
    <row r="126" spans="3:9" x14ac:dyDescent="0.25">
      <c r="C126" t="s">
        <v>2</v>
      </c>
      <c r="D126" t="s">
        <v>39</v>
      </c>
      <c r="E126" t="s">
        <v>25</v>
      </c>
      <c r="F126" s="23">
        <v>1785</v>
      </c>
      <c r="G126">
        <v>462</v>
      </c>
      <c r="H126">
        <f>_xlfn.XLOOKUP(Data[[#This Row],[Product]],products[Product],products[Cost per unit])</f>
        <v>13.15</v>
      </c>
      <c r="I126">
        <f>Data[[#This Row],[cost per unit]]*Data[[#This Row],[Units]]</f>
        <v>6075.3</v>
      </c>
    </row>
    <row r="127" spans="3:9" x14ac:dyDescent="0.25">
      <c r="C127" t="s">
        <v>9</v>
      </c>
      <c r="D127" t="s">
        <v>34</v>
      </c>
      <c r="E127" t="s">
        <v>20</v>
      </c>
      <c r="F127" s="23">
        <v>8463</v>
      </c>
      <c r="G127">
        <v>492</v>
      </c>
      <c r="H127">
        <f>_xlfn.XLOOKUP(Data[[#This Row],[Product]],products[Product],products[Cost per unit])</f>
        <v>10.62</v>
      </c>
      <c r="I127">
        <f>Data[[#This Row],[cost per unit]]*Data[[#This Row],[Units]]</f>
        <v>5225.04</v>
      </c>
    </row>
    <row r="128" spans="3:9" x14ac:dyDescent="0.25">
      <c r="C128" t="s">
        <v>3</v>
      </c>
      <c r="D128" t="s">
        <v>34</v>
      </c>
      <c r="E128" t="s">
        <v>32</v>
      </c>
      <c r="F128" s="23">
        <v>7777</v>
      </c>
      <c r="G128">
        <v>504</v>
      </c>
      <c r="H128">
        <f>_xlfn.XLOOKUP(Data[[#This Row],[Product]],products[Product],products[Cost per unit])</f>
        <v>8.65</v>
      </c>
      <c r="I128">
        <f>Data[[#This Row],[cost per unit]]*Data[[#This Row],[Units]]</f>
        <v>4359.6000000000004</v>
      </c>
    </row>
    <row r="129" spans="3:17" x14ac:dyDescent="0.25">
      <c r="C129" t="s">
        <v>8</v>
      </c>
      <c r="D129" t="s">
        <v>38</v>
      </c>
      <c r="E129" t="s">
        <v>13</v>
      </c>
      <c r="F129" s="23">
        <v>819</v>
      </c>
      <c r="G129">
        <v>510</v>
      </c>
      <c r="H129">
        <f>_xlfn.XLOOKUP(Data[[#This Row],[Product]],products[Product],products[Cost per unit])</f>
        <v>9.33</v>
      </c>
      <c r="I129">
        <f>Data[[#This Row],[cost per unit]]*Data[[#This Row],[Units]]</f>
        <v>4758.3</v>
      </c>
    </row>
    <row r="130" spans="3:17" x14ac:dyDescent="0.25">
      <c r="C130" t="s">
        <v>2</v>
      </c>
      <c r="D130" t="s">
        <v>36</v>
      </c>
      <c r="E130" t="s">
        <v>27</v>
      </c>
      <c r="F130" s="23">
        <v>798</v>
      </c>
      <c r="G130">
        <v>519</v>
      </c>
      <c r="H130">
        <f>_xlfn.XLOOKUP(Data[[#This Row],[Product]],products[Product],products[Cost per unit])</f>
        <v>16.73</v>
      </c>
      <c r="I130">
        <f>Data[[#This Row],[cost per unit]]*Data[[#This Row],[Units]]</f>
        <v>8682.8700000000008</v>
      </c>
    </row>
    <row r="131" spans="3:17" x14ac:dyDescent="0.25">
      <c r="C131" t="s">
        <v>10</v>
      </c>
      <c r="D131" t="s">
        <v>38</v>
      </c>
      <c r="E131" t="s">
        <v>14</v>
      </c>
      <c r="F131" s="23">
        <v>5586</v>
      </c>
      <c r="G131">
        <v>525</v>
      </c>
      <c r="H131">
        <f>_xlfn.XLOOKUP(Data[[#This Row],[Product]],products[Product],products[Cost per unit])</f>
        <v>11.7</v>
      </c>
      <c r="I131">
        <f>Data[[#This Row],[cost per unit]]*Data[[#This Row],[Units]]</f>
        <v>6142.5</v>
      </c>
    </row>
    <row r="132" spans="3:17" x14ac:dyDescent="0.25">
      <c r="C132" s="11" t="s">
        <v>52</v>
      </c>
      <c r="D132" s="13">
        <f>SUBTOTAL(109,Data[Geography])</f>
        <v>0</v>
      </c>
      <c r="E132" s="13">
        <f>SUBTOTAL(109,Data[Product])</f>
        <v>0</v>
      </c>
      <c r="F132" s="25">
        <f>SUBTOTAL(109,Data[Amount])</f>
        <v>554253</v>
      </c>
      <c r="G132" s="13">
        <f>SUBTOTAL(109,Data[Units])</f>
        <v>33642</v>
      </c>
      <c r="H132" s="13">
        <f>SUBTOTAL(109,Data[cost per unit])</f>
        <v>1192.3300000000004</v>
      </c>
      <c r="I132" s="13">
        <f>SUBTOTAL(109,Data[cost])</f>
        <v>322912.49999999994</v>
      </c>
    </row>
    <row r="143" spans="3:17" s="17" customFormat="1" x14ac:dyDescent="0.25">
      <c r="F143" s="26"/>
      <c r="G143" s="17" t="s">
        <v>39</v>
      </c>
      <c r="H143" s="17" t="s">
        <v>25</v>
      </c>
      <c r="L143" s="31"/>
      <c r="M143" s="31"/>
      <c r="N143" s="37"/>
      <c r="P143" s="37"/>
      <c r="Q143" s="37"/>
    </row>
    <row r="144" spans="3:17" x14ac:dyDescent="0.25">
      <c r="C144" s="18"/>
      <c r="D144" s="18"/>
      <c r="E144" s="18"/>
      <c r="F144" s="27"/>
      <c r="G144" s="18"/>
      <c r="H144" s="18"/>
      <c r="I144" s="18"/>
    </row>
    <row r="145" spans="3:19" x14ac:dyDescent="0.25">
      <c r="C145" s="18" t="s">
        <v>61</v>
      </c>
      <c r="D145" s="18"/>
      <c r="E145" s="18"/>
      <c r="F145" s="27"/>
      <c r="G145" s="18"/>
      <c r="H145" s="18"/>
      <c r="I145" s="18"/>
      <c r="L145" s="32" t="str" cm="1">
        <f t="array" ref="L145:L150">_xlfn.UNIQUE(Data[Geography])</f>
        <v>Australia</v>
      </c>
    </row>
    <row r="146" spans="3:19" x14ac:dyDescent="0.25">
      <c r="C146" s="18" t="str" cm="1">
        <f t="array" ref="C146:I146">(Data[#Headers])</f>
        <v>Sales Person</v>
      </c>
      <c r="D146" s="18" t="str">
        <v>Geography</v>
      </c>
      <c r="E146" s="18" t="str">
        <v>Product</v>
      </c>
      <c r="F146" s="27" t="str">
        <v>Amount</v>
      </c>
      <c r="G146" s="18" t="str">
        <v>Units</v>
      </c>
      <c r="H146" s="18" t="str">
        <v>cost per unit</v>
      </c>
      <c r="I146" s="18" t="str">
        <v>cost</v>
      </c>
      <c r="L146" s="32" t="str">
        <v>India</v>
      </c>
      <c r="S146" s="19" t="str" cm="1">
        <f t="array" ref="S146:S167">_xlfn.UNIQUE(Data[Product])</f>
        <v>Fruit &amp; Nut Bars</v>
      </c>
    </row>
    <row r="147" spans="3:19" x14ac:dyDescent="0.25">
      <c r="C147" s="18" t="str" cm="1">
        <f t="array" ref="C147:I148">_xlfn._xlws.FILTER(Data[],(Data[Geography]=$G$143)*(Data[Product]=$H$143))</f>
        <v>Curtice Advani</v>
      </c>
      <c r="D147" s="18" t="str">
        <v>UK</v>
      </c>
      <c r="E147" s="18" t="str">
        <v>White Choc</v>
      </c>
      <c r="F147" s="27">
        <v>2100</v>
      </c>
      <c r="G147" s="18">
        <v>414</v>
      </c>
      <c r="H147" s="18">
        <v>13.15</v>
      </c>
      <c r="I147" s="18">
        <v>5444.1</v>
      </c>
      <c r="L147" s="32" t="str">
        <v>Canada</v>
      </c>
      <c r="S147" s="19" t="str">
        <v>Eclairs</v>
      </c>
    </row>
    <row r="148" spans="3:19" x14ac:dyDescent="0.25">
      <c r="C148" s="18" t="str">
        <v>Barr Faughny</v>
      </c>
      <c r="D148" s="18" t="str">
        <v>UK</v>
      </c>
      <c r="E148" s="18" t="str">
        <v>White Choc</v>
      </c>
      <c r="F148" s="27">
        <v>1785</v>
      </c>
      <c r="G148" s="18">
        <v>462</v>
      </c>
      <c r="H148" s="18">
        <v>13.15</v>
      </c>
      <c r="I148" s="18">
        <v>6075.3</v>
      </c>
      <c r="L148" s="32" t="str">
        <v>New Zealand</v>
      </c>
      <c r="S148" s="19" t="str">
        <v>White Choc</v>
      </c>
    </row>
    <row r="149" spans="3:19" x14ac:dyDescent="0.25">
      <c r="C149" s="18"/>
      <c r="D149" s="18"/>
      <c r="E149" s="18"/>
      <c r="F149" s="27"/>
      <c r="G149" s="18"/>
      <c r="H149" s="18"/>
      <c r="I149" s="18"/>
      <c r="L149" s="32" t="str">
        <v>USA</v>
      </c>
      <c r="S149" s="19" t="str">
        <v>Peanut Butter Cubes</v>
      </c>
    </row>
    <row r="150" spans="3:19" x14ac:dyDescent="0.25">
      <c r="L150" s="32" t="str">
        <v>UK</v>
      </c>
      <c r="S150" s="19" t="str">
        <v>Baker's Choco Chips</v>
      </c>
    </row>
    <row r="151" spans="3:19" x14ac:dyDescent="0.25">
      <c r="S151" s="19" t="str">
        <v>Orange Choco</v>
      </c>
    </row>
    <row r="152" spans="3:19" x14ac:dyDescent="0.25">
      <c r="S152" s="19" t="str">
        <v>99% Dark &amp; Pure</v>
      </c>
    </row>
    <row r="153" spans="3:19" x14ac:dyDescent="0.25">
      <c r="C153" t="str" cm="1">
        <f t="array" ref="C153:I262">_xlfn._xlws.FILTER(Data[],Data[Geography]&lt;&gt;$G$143)</f>
        <v>Barr Faughny</v>
      </c>
      <c r="D153" t="str">
        <v>Australia</v>
      </c>
      <c r="E153" t="str">
        <v>Fruit &amp; Nut Bars</v>
      </c>
      <c r="F153" s="23">
        <v>4417</v>
      </c>
      <c r="G153">
        <v>153</v>
      </c>
      <c r="H153">
        <v>6.49</v>
      </c>
      <c r="I153">
        <v>992.97</v>
      </c>
      <c r="S153" s="19" t="str">
        <v>Caramel Stuffed Bars</v>
      </c>
    </row>
    <row r="154" spans="3:19" x14ac:dyDescent="0.25">
      <c r="C154" t="str">
        <v>Ram Mahesh</v>
      </c>
      <c r="D154" t="str">
        <v>India</v>
      </c>
      <c r="E154" t="str">
        <v>Eclairs</v>
      </c>
      <c r="F154" s="23">
        <v>5019</v>
      </c>
      <c r="G154">
        <v>156</v>
      </c>
      <c r="H154">
        <v>3.11</v>
      </c>
      <c r="I154">
        <v>485.15999999999997</v>
      </c>
      <c r="S154" s="19" t="str">
        <v>Manuka Honey Choco</v>
      </c>
    </row>
    <row r="155" spans="3:19" x14ac:dyDescent="0.25">
      <c r="C155" t="str">
        <v>Curtice Advani</v>
      </c>
      <c r="D155" t="str">
        <v>Canada</v>
      </c>
      <c r="E155" t="str">
        <v>Eclairs</v>
      </c>
      <c r="F155" s="23">
        <v>4970</v>
      </c>
      <c r="G155">
        <v>156</v>
      </c>
      <c r="H155">
        <v>3.11</v>
      </c>
      <c r="I155">
        <v>485.15999999999997</v>
      </c>
      <c r="L155" s="29" t="s">
        <v>62</v>
      </c>
      <c r="M155" s="33" t="s">
        <v>38</v>
      </c>
      <c r="N155" s="37" t="s">
        <v>35</v>
      </c>
      <c r="S155" s="19" t="str">
        <v>Mint Chip Choco</v>
      </c>
    </row>
    <row r="156" spans="3:19" x14ac:dyDescent="0.25">
      <c r="C156" t="str">
        <v>Husein Augar</v>
      </c>
      <c r="D156" t="str">
        <v>New Zealand</v>
      </c>
      <c r="E156" t="str">
        <v>White Choc</v>
      </c>
      <c r="F156" s="23">
        <v>4305</v>
      </c>
      <c r="G156">
        <v>156</v>
      </c>
      <c r="H156">
        <v>13.15</v>
      </c>
      <c r="I156">
        <v>2051.4</v>
      </c>
      <c r="L156" s="29" t="s">
        <v>63</v>
      </c>
      <c r="M156" s="34">
        <v>3000</v>
      </c>
      <c r="N156" s="20" t="s">
        <v>50</v>
      </c>
      <c r="S156" s="19" t="str">
        <v>85% Dark Bars</v>
      </c>
    </row>
    <row r="157" spans="3:19" x14ac:dyDescent="0.25">
      <c r="C157" t="str">
        <v>Ram Mahesh</v>
      </c>
      <c r="D157" t="str">
        <v>India</v>
      </c>
      <c r="E157" t="str">
        <v>Peanut Butter Cubes</v>
      </c>
      <c r="F157" s="23">
        <v>3794</v>
      </c>
      <c r="G157">
        <v>159</v>
      </c>
      <c r="H157">
        <v>12.37</v>
      </c>
      <c r="I157">
        <v>1966.83</v>
      </c>
      <c r="S157" s="19" t="str">
        <v>70% Dark Bites</v>
      </c>
    </row>
    <row r="158" spans="3:19" x14ac:dyDescent="0.25">
      <c r="C158" t="str">
        <v>Husein Augar</v>
      </c>
      <c r="D158" t="str">
        <v>USA</v>
      </c>
      <c r="E158" t="str">
        <v>Baker's Choco Chips</v>
      </c>
      <c r="F158" s="23">
        <v>98</v>
      </c>
      <c r="G158">
        <v>159</v>
      </c>
      <c r="H158">
        <v>5.6</v>
      </c>
      <c r="I158">
        <v>890.4</v>
      </c>
      <c r="S158" s="19" t="str">
        <v>Organic Choco Syrup</v>
      </c>
    </row>
    <row r="159" spans="3:19" x14ac:dyDescent="0.25">
      <c r="C159" t="str">
        <v>Ram Mahesh</v>
      </c>
      <c r="D159" t="str">
        <v>India</v>
      </c>
      <c r="E159" t="str">
        <v>99% Dark &amp; Pure</v>
      </c>
      <c r="F159" s="23">
        <v>4018</v>
      </c>
      <c r="G159">
        <v>162</v>
      </c>
      <c r="H159">
        <v>7.64</v>
      </c>
      <c r="I159">
        <v>1237.6799999999998</v>
      </c>
      <c r="L159" s="29" t="s">
        <v>64</v>
      </c>
      <c r="M159" s="29" cm="1">
        <f t="array" ref="M159">SUM(_xlfn._xlws.FILTER(Data[Amount],((Data[Geography]=M155)+(Data[Geography]=N155))*Data[Amount]&gt;M156))</f>
        <v>178493</v>
      </c>
      <c r="O159" cm="1">
        <f t="array" ref="O159:O186">_xlfn._xlws.FILTER(Data[Amount],((Data[Geography]=M155)+(Data[Geography]=N155))*(Data[Amount]&gt;$M$156))</f>
        <v>4417</v>
      </c>
      <c r="P159" s="20" cm="1">
        <f t="array" ref="P159:P176">_xlfn._xlws.FILTER(Data[Units],((Data[Geography]=N155)+(Data[Geography]=O155))*(Data[Amount]&gt;$M$156))</f>
        <v>174</v>
      </c>
      <c r="S159" s="19" t="str">
        <v>Drinking Coco</v>
      </c>
    </row>
    <row r="160" spans="3:19" x14ac:dyDescent="0.25">
      <c r="C160" t="str">
        <v>Gunar Cockshoot</v>
      </c>
      <c r="D160" t="str">
        <v>Canada</v>
      </c>
      <c r="E160" t="str">
        <v>Caramel Stuffed Bars</v>
      </c>
      <c r="F160" s="23">
        <v>973</v>
      </c>
      <c r="G160">
        <v>162</v>
      </c>
      <c r="H160">
        <v>10.38</v>
      </c>
      <c r="I160">
        <v>1681.5600000000002</v>
      </c>
      <c r="L160" s="29" t="s">
        <v>65</v>
      </c>
      <c r="O160">
        <v>5474</v>
      </c>
      <c r="P160" s="20">
        <v>177</v>
      </c>
      <c r="S160" s="19" t="str">
        <v>Raspberry Choco</v>
      </c>
    </row>
    <row r="161" spans="3:19" x14ac:dyDescent="0.25">
      <c r="C161" t="str">
        <v>Gunar Cockshoot</v>
      </c>
      <c r="D161" t="str">
        <v>Canada</v>
      </c>
      <c r="E161" t="str">
        <v>Fruit &amp; Nut Bars</v>
      </c>
      <c r="F161" s="23">
        <v>3773</v>
      </c>
      <c r="G161">
        <v>165</v>
      </c>
      <c r="H161">
        <v>6.49</v>
      </c>
      <c r="I161">
        <v>1070.8500000000001</v>
      </c>
      <c r="O161">
        <v>4725</v>
      </c>
      <c r="P161" s="20">
        <v>201</v>
      </c>
      <c r="S161" s="19" t="str">
        <v>Choco Coated Almonds</v>
      </c>
    </row>
    <row r="162" spans="3:19" x14ac:dyDescent="0.25">
      <c r="C162" t="str">
        <v>Gigi Bohling</v>
      </c>
      <c r="D162" t="str">
        <v>Australia</v>
      </c>
      <c r="E162" t="str">
        <v>99% Dark &amp; Pure</v>
      </c>
      <c r="F162" s="23">
        <v>5474</v>
      </c>
      <c r="G162">
        <v>168</v>
      </c>
      <c r="H162">
        <v>7.64</v>
      </c>
      <c r="I162">
        <v>1283.52</v>
      </c>
      <c r="O162">
        <v>3864</v>
      </c>
      <c r="P162" s="20">
        <v>210</v>
      </c>
      <c r="S162" s="19" t="str">
        <v>After Nines</v>
      </c>
    </row>
    <row r="163" spans="3:19" x14ac:dyDescent="0.25">
      <c r="C163" t="str">
        <v>Brien Boise</v>
      </c>
      <c r="D163" t="str">
        <v>USA</v>
      </c>
      <c r="E163" t="str">
        <v>Manuka Honey Choco</v>
      </c>
      <c r="F163" s="23">
        <v>2023</v>
      </c>
      <c r="G163">
        <v>168</v>
      </c>
      <c r="H163">
        <v>7.16</v>
      </c>
      <c r="I163">
        <v>1202.8800000000001</v>
      </c>
      <c r="O163">
        <v>6580</v>
      </c>
      <c r="P163" s="20">
        <v>216</v>
      </c>
      <c r="S163" s="19" t="str">
        <v>Milk Bars</v>
      </c>
    </row>
    <row r="164" spans="3:19" x14ac:dyDescent="0.25">
      <c r="C164" t="str">
        <v>Carla Molina</v>
      </c>
      <c r="D164" t="str">
        <v>India</v>
      </c>
      <c r="E164" t="str">
        <v>Peanut Butter Cubes</v>
      </c>
      <c r="F164" s="23">
        <v>7847</v>
      </c>
      <c r="G164">
        <v>174</v>
      </c>
      <c r="H164">
        <v>12.37</v>
      </c>
      <c r="I164">
        <v>2152.3799999999997</v>
      </c>
      <c r="O164">
        <v>13391</v>
      </c>
      <c r="P164" s="20">
        <v>234</v>
      </c>
      <c r="S164" s="19" t="str">
        <v>Almond Choco</v>
      </c>
    </row>
    <row r="165" spans="3:19" x14ac:dyDescent="0.25">
      <c r="C165" t="str">
        <v>Carla Molina</v>
      </c>
      <c r="D165" t="str">
        <v>Canada</v>
      </c>
      <c r="E165" t="str">
        <v>70% Dark Bites</v>
      </c>
      <c r="F165" s="23">
        <v>6118</v>
      </c>
      <c r="G165">
        <v>174</v>
      </c>
      <c r="H165">
        <v>14.49</v>
      </c>
      <c r="I165">
        <v>2521.2600000000002</v>
      </c>
      <c r="O165">
        <v>5012</v>
      </c>
      <c r="P165" s="20">
        <v>240</v>
      </c>
      <c r="S165" s="19" t="str">
        <v>Smooth Sliky Salty</v>
      </c>
    </row>
    <row r="166" spans="3:19" x14ac:dyDescent="0.25">
      <c r="C166" t="str">
        <v>Ram Mahesh</v>
      </c>
      <c r="D166" t="str">
        <v>USA</v>
      </c>
      <c r="E166" t="str">
        <v>Mint Chip Choco</v>
      </c>
      <c r="F166" s="23">
        <v>4725</v>
      </c>
      <c r="G166">
        <v>174</v>
      </c>
      <c r="H166">
        <v>8.7899999999999991</v>
      </c>
      <c r="I166">
        <v>1529.4599999999998</v>
      </c>
      <c r="L166" s="29" cm="1">
        <f t="array" ref="L166">SUM(_xlfn._xlws.FILTER(Data[Amount],Data[Geography]&lt;&gt;"USA"))</f>
        <v>414799</v>
      </c>
      <c r="O166">
        <v>3752</v>
      </c>
      <c r="P166" s="20">
        <v>243</v>
      </c>
      <c r="S166" s="19" t="str">
        <v>Spicy Special Slims</v>
      </c>
    </row>
    <row r="167" spans="3:19" x14ac:dyDescent="0.25">
      <c r="C167" t="str">
        <v>Husein Augar</v>
      </c>
      <c r="D167" t="str">
        <v>India</v>
      </c>
      <c r="E167" t="str">
        <v>Eclairs</v>
      </c>
      <c r="F167" s="23">
        <v>707</v>
      </c>
      <c r="G167">
        <v>174</v>
      </c>
      <c r="H167">
        <v>3.11</v>
      </c>
      <c r="I167">
        <v>541.14</v>
      </c>
      <c r="L167" s="29">
        <f>SUMIFS(Data[Amount],Data[Geography],"&lt;&gt;USA")</f>
        <v>414799</v>
      </c>
      <c r="O167">
        <v>7455</v>
      </c>
      <c r="P167" s="20">
        <v>246</v>
      </c>
      <c r="S167" s="19" t="str">
        <v>50% Dark Bites</v>
      </c>
    </row>
    <row r="168" spans="3:19" x14ac:dyDescent="0.25">
      <c r="C168" t="str">
        <v>Curtice Advani</v>
      </c>
      <c r="D168" t="str">
        <v>USA</v>
      </c>
      <c r="E168" t="str">
        <v>Organic Choco Syrup</v>
      </c>
      <c r="F168" s="23">
        <v>3864</v>
      </c>
      <c r="G168">
        <v>177</v>
      </c>
      <c r="H168">
        <v>16.73</v>
      </c>
      <c r="I168">
        <v>2961.21</v>
      </c>
      <c r="O168">
        <v>12348</v>
      </c>
      <c r="P168" s="20">
        <v>252</v>
      </c>
    </row>
    <row r="169" spans="3:19" x14ac:dyDescent="0.25">
      <c r="C169" t="str">
        <v>Ches Bonnell</v>
      </c>
      <c r="D169" t="str">
        <v>Canada</v>
      </c>
      <c r="E169" t="str">
        <v>Drinking Coco</v>
      </c>
      <c r="F169" s="23">
        <v>2646</v>
      </c>
      <c r="G169">
        <v>177</v>
      </c>
      <c r="H169">
        <v>6.47</v>
      </c>
      <c r="I169">
        <v>1145.19</v>
      </c>
      <c r="O169">
        <v>4585</v>
      </c>
      <c r="P169" s="20">
        <v>276</v>
      </c>
    </row>
    <row r="170" spans="3:19" x14ac:dyDescent="0.25">
      <c r="C170" t="str">
        <v>Carla Molina</v>
      </c>
      <c r="D170" t="str">
        <v>New Zealand</v>
      </c>
      <c r="E170" t="str">
        <v>Baker's Choco Chips</v>
      </c>
      <c r="F170" s="23">
        <v>2324</v>
      </c>
      <c r="G170">
        <v>177</v>
      </c>
      <c r="H170">
        <v>5.6</v>
      </c>
      <c r="I170">
        <v>991.19999999999993</v>
      </c>
      <c r="O170">
        <v>7833</v>
      </c>
      <c r="P170" s="20">
        <v>279</v>
      </c>
    </row>
    <row r="171" spans="3:19" x14ac:dyDescent="0.25">
      <c r="C171" t="str">
        <v>Barr Faughny</v>
      </c>
      <c r="D171" t="str">
        <v>Australia</v>
      </c>
      <c r="E171" t="str">
        <v>Caramel Stuffed Bars</v>
      </c>
      <c r="F171" s="23">
        <v>6580</v>
      </c>
      <c r="G171">
        <v>183</v>
      </c>
      <c r="H171">
        <v>10.38</v>
      </c>
      <c r="I171">
        <v>1899.5400000000002</v>
      </c>
      <c r="O171">
        <v>4753</v>
      </c>
      <c r="P171" s="20">
        <v>288</v>
      </c>
    </row>
    <row r="172" spans="3:19" x14ac:dyDescent="0.25">
      <c r="C172" t="str">
        <v>Carla Molina</v>
      </c>
      <c r="D172" t="str">
        <v>USA</v>
      </c>
      <c r="E172" t="str">
        <v>Raspberry Choco</v>
      </c>
      <c r="F172" s="23">
        <v>2114</v>
      </c>
      <c r="G172">
        <v>186</v>
      </c>
      <c r="H172">
        <v>11.73</v>
      </c>
      <c r="I172">
        <v>2181.7800000000002</v>
      </c>
      <c r="O172">
        <v>6755</v>
      </c>
      <c r="P172" s="20">
        <v>300</v>
      </c>
    </row>
    <row r="173" spans="3:19" x14ac:dyDescent="0.25">
      <c r="C173" t="str">
        <v>Ches Bonnell</v>
      </c>
      <c r="D173" t="str">
        <v>India</v>
      </c>
      <c r="E173" t="str">
        <v>85% Dark Bars</v>
      </c>
      <c r="F173" s="23">
        <v>8862</v>
      </c>
      <c r="G173">
        <v>189</v>
      </c>
      <c r="H173">
        <v>4.97</v>
      </c>
      <c r="I173">
        <v>939.32999999999993</v>
      </c>
      <c r="O173">
        <v>5677</v>
      </c>
      <c r="P173" s="20">
        <v>357</v>
      </c>
    </row>
    <row r="174" spans="3:19" x14ac:dyDescent="0.25">
      <c r="C174" t="str">
        <v>Curtice Advani</v>
      </c>
      <c r="D174" t="str">
        <v>New Zealand</v>
      </c>
      <c r="E174" t="str">
        <v>Fruit &amp; Nut Bars</v>
      </c>
      <c r="F174" s="23">
        <v>4949</v>
      </c>
      <c r="G174">
        <v>189</v>
      </c>
      <c r="H174">
        <v>6.49</v>
      </c>
      <c r="I174">
        <v>1226.6100000000001</v>
      </c>
      <c r="O174">
        <v>6657</v>
      </c>
      <c r="P174" s="20">
        <v>372</v>
      </c>
    </row>
    <row r="175" spans="3:19" x14ac:dyDescent="0.25">
      <c r="C175" t="str">
        <v>Husein Augar</v>
      </c>
      <c r="D175" t="str">
        <v>Canada</v>
      </c>
      <c r="E175" t="str">
        <v>Choco Coated Almonds</v>
      </c>
      <c r="F175" s="23">
        <v>2954</v>
      </c>
      <c r="G175">
        <v>189</v>
      </c>
      <c r="H175">
        <v>8.65</v>
      </c>
      <c r="I175">
        <v>1634.8500000000001</v>
      </c>
      <c r="O175">
        <v>3808</v>
      </c>
      <c r="P175" s="20">
        <v>432</v>
      </c>
    </row>
    <row r="176" spans="3:19" x14ac:dyDescent="0.25">
      <c r="C176" t="str">
        <v>Husein Augar</v>
      </c>
      <c r="D176" t="str">
        <v>India</v>
      </c>
      <c r="E176" t="str">
        <v>Mint Chip Choco</v>
      </c>
      <c r="F176" s="23">
        <v>938</v>
      </c>
      <c r="G176">
        <v>189</v>
      </c>
      <c r="H176">
        <v>8.7899999999999991</v>
      </c>
      <c r="I176">
        <v>1661.31</v>
      </c>
      <c r="O176">
        <v>5194</v>
      </c>
      <c r="P176" s="20">
        <v>459</v>
      </c>
    </row>
    <row r="177" spans="3:15" x14ac:dyDescent="0.25">
      <c r="C177" t="str">
        <v>Carla Molina</v>
      </c>
      <c r="D177" t="str">
        <v>Canada</v>
      </c>
      <c r="E177" t="str">
        <v>99% Dark &amp; Pure</v>
      </c>
      <c r="F177" s="23">
        <v>1925</v>
      </c>
      <c r="G177">
        <v>192</v>
      </c>
      <c r="H177">
        <v>7.64</v>
      </c>
      <c r="I177">
        <v>1466.8799999999999</v>
      </c>
      <c r="O177">
        <v>5670</v>
      </c>
    </row>
    <row r="178" spans="3:15" x14ac:dyDescent="0.25">
      <c r="C178" t="str">
        <v>Oby Sorrel</v>
      </c>
      <c r="D178" t="str">
        <v>USA</v>
      </c>
      <c r="E178" t="str">
        <v>Orange Choco</v>
      </c>
      <c r="F178" s="23">
        <v>1974</v>
      </c>
      <c r="G178">
        <v>195</v>
      </c>
      <c r="H178">
        <v>10.62</v>
      </c>
      <c r="I178">
        <v>2070.8999999999996</v>
      </c>
      <c r="O178">
        <v>4753</v>
      </c>
    </row>
    <row r="179" spans="3:15" x14ac:dyDescent="0.25">
      <c r="C179" t="str">
        <v>Brien Boise</v>
      </c>
      <c r="D179" t="str">
        <v>New Zealand</v>
      </c>
      <c r="E179" t="str">
        <v>After Nines</v>
      </c>
      <c r="F179" s="23">
        <v>1890</v>
      </c>
      <c r="G179">
        <v>195</v>
      </c>
      <c r="H179">
        <v>9.77</v>
      </c>
      <c r="I179">
        <v>1905.1499999999999</v>
      </c>
      <c r="O179">
        <v>8841</v>
      </c>
    </row>
    <row r="180" spans="3:15" x14ac:dyDescent="0.25">
      <c r="C180" t="str">
        <v>Gigi Bohling</v>
      </c>
      <c r="D180" t="str">
        <v>India</v>
      </c>
      <c r="E180" t="str">
        <v>99% Dark &amp; Pure</v>
      </c>
      <c r="F180" s="23">
        <v>861</v>
      </c>
      <c r="G180">
        <v>195</v>
      </c>
      <c r="H180">
        <v>7.64</v>
      </c>
      <c r="I180">
        <v>1489.8</v>
      </c>
      <c r="O180">
        <v>10129</v>
      </c>
    </row>
    <row r="181" spans="3:15" x14ac:dyDescent="0.25">
      <c r="C181" t="str">
        <v>Gigi Bohling</v>
      </c>
      <c r="D181" t="str">
        <v>USA</v>
      </c>
      <c r="E181" t="str">
        <v>Raspberry Choco</v>
      </c>
      <c r="F181" s="23">
        <v>13391</v>
      </c>
      <c r="G181">
        <v>201</v>
      </c>
      <c r="H181">
        <v>11.73</v>
      </c>
      <c r="I181">
        <v>2357.73</v>
      </c>
      <c r="O181">
        <v>4326</v>
      </c>
    </row>
    <row r="182" spans="3:15" x14ac:dyDescent="0.25">
      <c r="C182" t="str">
        <v>Barr Faughny</v>
      </c>
      <c r="D182" t="str">
        <v>New Zealand</v>
      </c>
      <c r="E182" t="str">
        <v>Eclairs</v>
      </c>
      <c r="F182" s="23">
        <v>9926</v>
      </c>
      <c r="G182">
        <v>201</v>
      </c>
      <c r="H182">
        <v>3.11</v>
      </c>
      <c r="I182">
        <v>625.11</v>
      </c>
      <c r="O182">
        <v>4480</v>
      </c>
    </row>
    <row r="183" spans="3:15" x14ac:dyDescent="0.25">
      <c r="C183" t="str">
        <v>Gigi Bohling</v>
      </c>
      <c r="D183" t="str">
        <v>India</v>
      </c>
      <c r="E183" t="str">
        <v>Raspberry Choco</v>
      </c>
      <c r="F183" s="23">
        <v>7280</v>
      </c>
      <c r="G183">
        <v>201</v>
      </c>
      <c r="H183">
        <v>11.73</v>
      </c>
      <c r="I183">
        <v>2357.73</v>
      </c>
      <c r="O183">
        <v>6853</v>
      </c>
    </row>
    <row r="184" spans="3:15" x14ac:dyDescent="0.25">
      <c r="C184" t="str">
        <v>Ram Mahesh</v>
      </c>
      <c r="D184" t="str">
        <v>Canada</v>
      </c>
      <c r="E184" t="str">
        <v>Milk Bars</v>
      </c>
      <c r="F184" s="23">
        <v>4424</v>
      </c>
      <c r="G184">
        <v>201</v>
      </c>
      <c r="H184">
        <v>9.33</v>
      </c>
      <c r="I184">
        <v>1875.33</v>
      </c>
      <c r="O184">
        <v>8869</v>
      </c>
    </row>
    <row r="185" spans="3:15" x14ac:dyDescent="0.25">
      <c r="C185" t="str">
        <v>Husein Augar</v>
      </c>
      <c r="D185" t="str">
        <v>Canada</v>
      </c>
      <c r="E185" t="str">
        <v>Organic Choco Syrup</v>
      </c>
      <c r="F185" s="23">
        <v>11522</v>
      </c>
      <c r="G185">
        <v>204</v>
      </c>
      <c r="H185">
        <v>16.73</v>
      </c>
      <c r="I185">
        <v>3412.92</v>
      </c>
      <c r="O185">
        <v>6706</v>
      </c>
    </row>
    <row r="186" spans="3:15" x14ac:dyDescent="0.25">
      <c r="C186" t="str">
        <v>Oby Sorrel</v>
      </c>
      <c r="D186" t="str">
        <v>India</v>
      </c>
      <c r="E186" t="str">
        <v>99% Dark &amp; Pure</v>
      </c>
      <c r="F186" s="23">
        <v>5355</v>
      </c>
      <c r="G186">
        <v>204</v>
      </c>
      <c r="H186">
        <v>7.64</v>
      </c>
      <c r="I186">
        <v>1558.56</v>
      </c>
      <c r="O186">
        <v>5586</v>
      </c>
    </row>
    <row r="187" spans="3:15" x14ac:dyDescent="0.25">
      <c r="C187" t="str">
        <v>Brien Boise</v>
      </c>
      <c r="D187" t="str">
        <v>New Zealand</v>
      </c>
      <c r="E187" t="str">
        <v>99% Dark &amp; Pure</v>
      </c>
      <c r="F187" s="23">
        <v>1771</v>
      </c>
      <c r="G187">
        <v>204</v>
      </c>
      <c r="H187">
        <v>7.64</v>
      </c>
      <c r="I187">
        <v>1558.56</v>
      </c>
    </row>
    <row r="188" spans="3:15" x14ac:dyDescent="0.25">
      <c r="C188" t="str">
        <v>Carla Molina</v>
      </c>
      <c r="D188" t="str">
        <v>Canada</v>
      </c>
      <c r="E188" t="str">
        <v>Baker's Choco Chips</v>
      </c>
      <c r="F188" s="23">
        <v>98</v>
      </c>
      <c r="G188">
        <v>204</v>
      </c>
      <c r="H188">
        <v>5.6</v>
      </c>
      <c r="I188">
        <v>1142.3999999999999</v>
      </c>
    </row>
    <row r="189" spans="3:15" x14ac:dyDescent="0.25">
      <c r="C189" t="str">
        <v>Ches Bonnell</v>
      </c>
      <c r="D189" t="str">
        <v>New Zealand</v>
      </c>
      <c r="E189" t="str">
        <v>After Nines</v>
      </c>
      <c r="F189" s="23">
        <v>9835</v>
      </c>
      <c r="G189">
        <v>207</v>
      </c>
      <c r="H189">
        <v>9.77</v>
      </c>
      <c r="I189">
        <v>2022.3899999999999</v>
      </c>
    </row>
    <row r="190" spans="3:15" x14ac:dyDescent="0.25">
      <c r="C190" t="str">
        <v>Curtice Advani</v>
      </c>
      <c r="D190" t="str">
        <v>India</v>
      </c>
      <c r="E190" t="str">
        <v>Organic Choco Syrup</v>
      </c>
      <c r="F190" s="23">
        <v>4242</v>
      </c>
      <c r="G190">
        <v>207</v>
      </c>
      <c r="H190">
        <v>16.73</v>
      </c>
      <c r="I190">
        <v>3463.11</v>
      </c>
    </row>
    <row r="191" spans="3:15" x14ac:dyDescent="0.25">
      <c r="C191" t="str">
        <v>Husein Augar</v>
      </c>
      <c r="D191" t="str">
        <v>New Zealand</v>
      </c>
      <c r="E191" t="str">
        <v>Almond Choco</v>
      </c>
      <c r="F191" s="23">
        <v>259</v>
      </c>
      <c r="G191">
        <v>207</v>
      </c>
      <c r="H191">
        <v>11.88</v>
      </c>
      <c r="I191">
        <v>2459.1600000000003</v>
      </c>
    </row>
    <row r="192" spans="3:15" x14ac:dyDescent="0.25">
      <c r="C192" t="str">
        <v>Brien Boise</v>
      </c>
      <c r="D192" t="str">
        <v>USA</v>
      </c>
      <c r="E192" t="str">
        <v>After Nines</v>
      </c>
      <c r="F192" s="23">
        <v>5012</v>
      </c>
      <c r="G192">
        <v>210</v>
      </c>
      <c r="H192">
        <v>9.77</v>
      </c>
      <c r="I192">
        <v>2051.6999999999998</v>
      </c>
    </row>
    <row r="193" spans="3:9" x14ac:dyDescent="0.25">
      <c r="C193" t="str">
        <v>Brien Boise</v>
      </c>
      <c r="D193" t="str">
        <v>Australia</v>
      </c>
      <c r="E193" t="str">
        <v>Choco Coated Almonds</v>
      </c>
      <c r="F193" s="23">
        <v>3752</v>
      </c>
      <c r="G193">
        <v>213</v>
      </c>
      <c r="H193">
        <v>8.65</v>
      </c>
      <c r="I193">
        <v>1842.45</v>
      </c>
    </row>
    <row r="194" spans="3:9" x14ac:dyDescent="0.25">
      <c r="C194" t="str">
        <v>Carla Molina</v>
      </c>
      <c r="D194" t="str">
        <v>USA</v>
      </c>
      <c r="E194" t="str">
        <v>Caramel Stuffed Bars</v>
      </c>
      <c r="F194" s="23">
        <v>7455</v>
      </c>
      <c r="G194">
        <v>216</v>
      </c>
      <c r="H194">
        <v>10.38</v>
      </c>
      <c r="I194">
        <v>2242.0800000000004</v>
      </c>
    </row>
    <row r="195" spans="3:9" x14ac:dyDescent="0.25">
      <c r="C195" t="str">
        <v>Brien Boise</v>
      </c>
      <c r="D195" t="str">
        <v>India</v>
      </c>
      <c r="E195" t="str">
        <v>Mint Chip Choco</v>
      </c>
      <c r="F195" s="23">
        <v>2009</v>
      </c>
      <c r="G195">
        <v>219</v>
      </c>
      <c r="H195">
        <v>8.7899999999999991</v>
      </c>
      <c r="I195">
        <v>1925.0099999999998</v>
      </c>
    </row>
    <row r="196" spans="3:9" x14ac:dyDescent="0.25">
      <c r="C196" t="str">
        <v>Ches Bonnell</v>
      </c>
      <c r="D196" t="str">
        <v>New Zealand</v>
      </c>
      <c r="E196" t="str">
        <v>50% Dark Bites</v>
      </c>
      <c r="F196" s="23">
        <v>6608</v>
      </c>
      <c r="G196">
        <v>225</v>
      </c>
      <c r="H196">
        <v>11.7</v>
      </c>
      <c r="I196">
        <v>2632.5</v>
      </c>
    </row>
    <row r="197" spans="3:9" x14ac:dyDescent="0.25">
      <c r="C197" t="str">
        <v>Carla Molina</v>
      </c>
      <c r="D197" t="str">
        <v>India</v>
      </c>
      <c r="E197" t="str">
        <v>Mint Chip Choco</v>
      </c>
      <c r="F197" s="23">
        <v>1274</v>
      </c>
      <c r="G197">
        <v>225</v>
      </c>
      <c r="H197">
        <v>8.7899999999999991</v>
      </c>
      <c r="I197">
        <v>1977.7499999999998</v>
      </c>
    </row>
    <row r="198" spans="3:9" x14ac:dyDescent="0.25">
      <c r="C198" t="str">
        <v>Oby Sorrel</v>
      </c>
      <c r="D198" t="str">
        <v>USA</v>
      </c>
      <c r="E198" t="str">
        <v>Spicy Special Slims</v>
      </c>
      <c r="F198" s="23">
        <v>567</v>
      </c>
      <c r="G198">
        <v>228</v>
      </c>
      <c r="H198">
        <v>9</v>
      </c>
      <c r="I198">
        <v>2052</v>
      </c>
    </row>
    <row r="199" spans="3:9" x14ac:dyDescent="0.25">
      <c r="C199" t="str">
        <v>Carla Molina</v>
      </c>
      <c r="D199" t="str">
        <v>Canada</v>
      </c>
      <c r="E199" t="str">
        <v>Milk Bars</v>
      </c>
      <c r="F199" s="23">
        <v>10311</v>
      </c>
      <c r="G199">
        <v>231</v>
      </c>
      <c r="H199">
        <v>9.33</v>
      </c>
      <c r="I199">
        <v>2155.23</v>
      </c>
    </row>
    <row r="200" spans="3:9" x14ac:dyDescent="0.25">
      <c r="C200" t="str">
        <v>Carla Molina</v>
      </c>
      <c r="D200" t="str">
        <v>New Zealand</v>
      </c>
      <c r="E200" t="str">
        <v>Raspberry Choco</v>
      </c>
      <c r="F200" s="23">
        <v>714</v>
      </c>
      <c r="G200">
        <v>231</v>
      </c>
      <c r="H200">
        <v>11.73</v>
      </c>
      <c r="I200">
        <v>2709.63</v>
      </c>
    </row>
    <row r="201" spans="3:9" x14ac:dyDescent="0.25">
      <c r="C201" t="str">
        <v>Ram Mahesh</v>
      </c>
      <c r="D201" t="str">
        <v>USA</v>
      </c>
      <c r="E201" t="str">
        <v>Choco Coated Almonds</v>
      </c>
      <c r="F201" s="23">
        <v>12348</v>
      </c>
      <c r="G201">
        <v>234</v>
      </c>
      <c r="H201">
        <v>8.65</v>
      </c>
      <c r="I201">
        <v>2024.1000000000001</v>
      </c>
    </row>
    <row r="202" spans="3:9" x14ac:dyDescent="0.25">
      <c r="C202" t="str">
        <v>Gunar Cockshoot</v>
      </c>
      <c r="D202" t="str">
        <v>USA</v>
      </c>
      <c r="E202" t="str">
        <v>White Choc</v>
      </c>
      <c r="F202" s="23">
        <v>2464</v>
      </c>
      <c r="G202">
        <v>234</v>
      </c>
      <c r="H202">
        <v>13.15</v>
      </c>
      <c r="I202">
        <v>3077.1</v>
      </c>
    </row>
    <row r="203" spans="3:9" x14ac:dyDescent="0.25">
      <c r="C203" t="str">
        <v>Brien Boise</v>
      </c>
      <c r="D203" t="str">
        <v>Australia</v>
      </c>
      <c r="E203" t="str">
        <v>Fruit &amp; Nut Bars</v>
      </c>
      <c r="F203" s="23">
        <v>1701</v>
      </c>
      <c r="G203">
        <v>234</v>
      </c>
      <c r="H203">
        <v>6.49</v>
      </c>
      <c r="I203">
        <v>1518.66</v>
      </c>
    </row>
    <row r="204" spans="3:9" x14ac:dyDescent="0.25">
      <c r="C204" t="str">
        <v>Gigi Bohling</v>
      </c>
      <c r="D204" t="str">
        <v>India</v>
      </c>
      <c r="E204" t="str">
        <v>After Nines</v>
      </c>
      <c r="F204" s="23">
        <v>6279</v>
      </c>
      <c r="G204">
        <v>237</v>
      </c>
      <c r="H204">
        <v>9.77</v>
      </c>
      <c r="I204">
        <v>2315.4899999999998</v>
      </c>
    </row>
    <row r="205" spans="3:9" x14ac:dyDescent="0.25">
      <c r="C205" t="str">
        <v>Ches Bonnell</v>
      </c>
      <c r="D205" t="str">
        <v>USA</v>
      </c>
      <c r="E205" t="str">
        <v>99% Dark &amp; Pure</v>
      </c>
      <c r="F205" s="23">
        <v>4585</v>
      </c>
      <c r="G205">
        <v>240</v>
      </c>
      <c r="H205">
        <v>7.64</v>
      </c>
      <c r="I205">
        <v>1833.6</v>
      </c>
    </row>
    <row r="206" spans="3:9" x14ac:dyDescent="0.25">
      <c r="C206" t="str">
        <v>Carla Molina</v>
      </c>
      <c r="D206" t="str">
        <v>New Zealand</v>
      </c>
      <c r="E206" t="str">
        <v>70% Dark Bites</v>
      </c>
      <c r="F206" s="23">
        <v>1526</v>
      </c>
      <c r="G206">
        <v>240</v>
      </c>
      <c r="H206">
        <v>14.49</v>
      </c>
      <c r="I206">
        <v>3477.6</v>
      </c>
    </row>
    <row r="207" spans="3:9" x14ac:dyDescent="0.25">
      <c r="C207" t="str">
        <v>Husein Augar</v>
      </c>
      <c r="D207" t="str">
        <v>USA</v>
      </c>
      <c r="E207" t="str">
        <v>Raspberry Choco</v>
      </c>
      <c r="F207" s="23">
        <v>7833</v>
      </c>
      <c r="G207">
        <v>243</v>
      </c>
      <c r="H207">
        <v>11.73</v>
      </c>
      <c r="I207">
        <v>2850.3900000000003</v>
      </c>
    </row>
    <row r="208" spans="3:9" x14ac:dyDescent="0.25">
      <c r="C208" t="str">
        <v>Gigi Bohling</v>
      </c>
      <c r="D208" t="str">
        <v>USA</v>
      </c>
      <c r="E208" t="str">
        <v>Smooth Sliky Salty</v>
      </c>
      <c r="F208" s="23">
        <v>4753</v>
      </c>
      <c r="G208">
        <v>246</v>
      </c>
      <c r="H208">
        <v>5.79</v>
      </c>
      <c r="I208">
        <v>1424.34</v>
      </c>
    </row>
    <row r="209" spans="3:9" x14ac:dyDescent="0.25">
      <c r="C209" t="str">
        <v>Barr Faughny</v>
      </c>
      <c r="D209" t="str">
        <v>Canada</v>
      </c>
      <c r="E209" t="str">
        <v>Smooth Sliky Salty</v>
      </c>
      <c r="F209" s="23">
        <v>3094</v>
      </c>
      <c r="G209">
        <v>246</v>
      </c>
      <c r="H209">
        <v>5.79</v>
      </c>
      <c r="I209">
        <v>1424.34</v>
      </c>
    </row>
    <row r="210" spans="3:9" x14ac:dyDescent="0.25">
      <c r="C210" t="str">
        <v>Husein Augar</v>
      </c>
      <c r="D210" t="str">
        <v>New Zealand</v>
      </c>
      <c r="E210" t="str">
        <v>Baker's Choco Chips</v>
      </c>
      <c r="F210" s="23">
        <v>2856</v>
      </c>
      <c r="G210">
        <v>246</v>
      </c>
      <c r="H210">
        <v>5.6</v>
      </c>
      <c r="I210">
        <v>1377.6</v>
      </c>
    </row>
    <row r="211" spans="3:9" x14ac:dyDescent="0.25">
      <c r="C211" t="str">
        <v>Ches Bonnell</v>
      </c>
      <c r="D211" t="str">
        <v>USA</v>
      </c>
      <c r="E211" t="str">
        <v>70% Dark Bites</v>
      </c>
      <c r="F211" s="23">
        <v>6755</v>
      </c>
      <c r="G211">
        <v>252</v>
      </c>
      <c r="H211">
        <v>14.49</v>
      </c>
      <c r="I211">
        <v>3651.48</v>
      </c>
    </row>
    <row r="212" spans="3:9" x14ac:dyDescent="0.25">
      <c r="C212" t="str">
        <v>Ches Bonnell</v>
      </c>
      <c r="D212" t="str">
        <v>Canada</v>
      </c>
      <c r="E212" t="str">
        <v>Manuka Honey Choco</v>
      </c>
      <c r="F212" s="23">
        <v>5551</v>
      </c>
      <c r="G212">
        <v>252</v>
      </c>
      <c r="H212">
        <v>7.16</v>
      </c>
      <c r="I212">
        <v>1804.32</v>
      </c>
    </row>
    <row r="213" spans="3:9" x14ac:dyDescent="0.25">
      <c r="C213" t="str">
        <v>Gunar Cockshoot</v>
      </c>
      <c r="D213" t="str">
        <v>USA</v>
      </c>
      <c r="E213" t="str">
        <v>50% Dark Bites</v>
      </c>
      <c r="F213" s="23">
        <v>2415</v>
      </c>
      <c r="G213">
        <v>255</v>
      </c>
      <c r="H213">
        <v>11.7</v>
      </c>
      <c r="I213">
        <v>2983.5</v>
      </c>
    </row>
    <row r="214" spans="3:9" x14ac:dyDescent="0.25">
      <c r="C214" t="str">
        <v>Ches Bonnell</v>
      </c>
      <c r="D214" t="str">
        <v>Australia</v>
      </c>
      <c r="E214" t="str">
        <v>Caramel Stuffed Bars</v>
      </c>
      <c r="F214" s="23">
        <v>5677</v>
      </c>
      <c r="G214">
        <v>258</v>
      </c>
      <c r="H214">
        <v>10.38</v>
      </c>
      <c r="I214">
        <v>2678.0400000000004</v>
      </c>
    </row>
    <row r="215" spans="3:9" x14ac:dyDescent="0.25">
      <c r="C215" t="str">
        <v>Oby Sorrel</v>
      </c>
      <c r="D215" t="str">
        <v>Canada</v>
      </c>
      <c r="E215" t="str">
        <v>Fruit &amp; Nut Bars</v>
      </c>
      <c r="F215" s="23">
        <v>2317</v>
      </c>
      <c r="G215">
        <v>261</v>
      </c>
      <c r="H215">
        <v>6.49</v>
      </c>
      <c r="I215">
        <v>1693.89</v>
      </c>
    </row>
    <row r="216" spans="3:9" x14ac:dyDescent="0.25">
      <c r="C216" t="str">
        <v>Ches Bonnell</v>
      </c>
      <c r="D216" t="str">
        <v>Australia</v>
      </c>
      <c r="E216" t="str">
        <v>Drinking Coco</v>
      </c>
      <c r="F216" s="23">
        <v>1778</v>
      </c>
      <c r="G216">
        <v>270</v>
      </c>
      <c r="H216">
        <v>6.47</v>
      </c>
      <c r="I216">
        <v>1746.8999999999999</v>
      </c>
    </row>
    <row r="217" spans="3:9" x14ac:dyDescent="0.25">
      <c r="C217" t="str">
        <v>Curtice Advani</v>
      </c>
      <c r="D217" t="str">
        <v>USA</v>
      </c>
      <c r="E217" t="str">
        <v>Orange Choco</v>
      </c>
      <c r="F217" s="23">
        <v>1071</v>
      </c>
      <c r="G217">
        <v>270</v>
      </c>
      <c r="H217">
        <v>10.62</v>
      </c>
      <c r="I217">
        <v>2867.3999999999996</v>
      </c>
    </row>
    <row r="218" spans="3:9" x14ac:dyDescent="0.25">
      <c r="C218" t="str">
        <v>Husein Augar</v>
      </c>
      <c r="D218" t="str">
        <v>New Zealand</v>
      </c>
      <c r="E218" t="str">
        <v>Manuka Honey Choco</v>
      </c>
      <c r="F218" s="23">
        <v>1085</v>
      </c>
      <c r="G218">
        <v>273</v>
      </c>
      <c r="H218">
        <v>7.16</v>
      </c>
      <c r="I218">
        <v>1954.68</v>
      </c>
    </row>
    <row r="219" spans="3:9" x14ac:dyDescent="0.25">
      <c r="C219" t="str">
        <v>Gunar Cockshoot</v>
      </c>
      <c r="D219" t="str">
        <v>India</v>
      </c>
      <c r="E219" t="str">
        <v>50% Dark Bites</v>
      </c>
      <c r="F219" s="23">
        <v>7259</v>
      </c>
      <c r="G219">
        <v>276</v>
      </c>
      <c r="H219">
        <v>11.7</v>
      </c>
      <c r="I219">
        <v>3229.2</v>
      </c>
    </row>
    <row r="220" spans="3:9" x14ac:dyDescent="0.25">
      <c r="C220" t="str">
        <v>Gunar Cockshoot</v>
      </c>
      <c r="D220" t="str">
        <v>USA</v>
      </c>
      <c r="E220" t="str">
        <v>Raspberry Choco</v>
      </c>
      <c r="F220" s="23">
        <v>6657</v>
      </c>
      <c r="G220">
        <v>276</v>
      </c>
      <c r="H220">
        <v>11.73</v>
      </c>
      <c r="I220">
        <v>3237.48</v>
      </c>
    </row>
    <row r="221" spans="3:9" x14ac:dyDescent="0.25">
      <c r="C221" t="str">
        <v>Oby Sorrel</v>
      </c>
      <c r="D221" t="str">
        <v>USA</v>
      </c>
      <c r="E221" t="str">
        <v>Drinking Coco</v>
      </c>
      <c r="F221" s="23">
        <v>3808</v>
      </c>
      <c r="G221">
        <v>279</v>
      </c>
      <c r="H221">
        <v>6.47</v>
      </c>
      <c r="I221">
        <v>1805.1299999999999</v>
      </c>
    </row>
    <row r="222" spans="3:9" x14ac:dyDescent="0.25">
      <c r="C222" t="str">
        <v>Curtice Advani</v>
      </c>
      <c r="D222" t="str">
        <v>Australia</v>
      </c>
      <c r="E222" t="str">
        <v>Organic Choco Syrup</v>
      </c>
      <c r="F222" s="23">
        <v>1134</v>
      </c>
      <c r="G222">
        <v>282</v>
      </c>
      <c r="H222">
        <v>16.73</v>
      </c>
      <c r="I222">
        <v>4717.8599999999997</v>
      </c>
    </row>
    <row r="223" spans="3:9" x14ac:dyDescent="0.25">
      <c r="C223" t="str">
        <v>Carla Molina</v>
      </c>
      <c r="D223" t="str">
        <v>Canada</v>
      </c>
      <c r="E223" t="str">
        <v>Drinking Coco</v>
      </c>
      <c r="F223" s="23">
        <v>9632</v>
      </c>
      <c r="G223">
        <v>288</v>
      </c>
      <c r="H223">
        <v>6.47</v>
      </c>
      <c r="I223">
        <v>1863.36</v>
      </c>
    </row>
    <row r="224" spans="3:9" x14ac:dyDescent="0.25">
      <c r="C224" t="str">
        <v>Ches Bonnell</v>
      </c>
      <c r="D224" t="str">
        <v>USA</v>
      </c>
      <c r="E224" t="str">
        <v>Caramel Stuffed Bars</v>
      </c>
      <c r="F224" s="23">
        <v>5194</v>
      </c>
      <c r="G224">
        <v>288</v>
      </c>
      <c r="H224">
        <v>10.38</v>
      </c>
      <c r="I224">
        <v>2989.44</v>
      </c>
    </row>
    <row r="225" spans="3:9" x14ac:dyDescent="0.25">
      <c r="C225" t="str">
        <v>Brien Boise</v>
      </c>
      <c r="D225" t="str">
        <v>India</v>
      </c>
      <c r="E225" t="str">
        <v>Smooth Sliky Salty</v>
      </c>
      <c r="F225" s="23">
        <v>3507</v>
      </c>
      <c r="G225">
        <v>288</v>
      </c>
      <c r="H225">
        <v>5.79</v>
      </c>
      <c r="I225">
        <v>1667.52</v>
      </c>
    </row>
    <row r="226" spans="3:9" x14ac:dyDescent="0.25">
      <c r="C226" t="str">
        <v>Oby Sorrel</v>
      </c>
      <c r="D226" t="str">
        <v>New Zealand</v>
      </c>
      <c r="E226" t="str">
        <v>Spicy Special Slims</v>
      </c>
      <c r="F226" s="23">
        <v>245</v>
      </c>
      <c r="G226">
        <v>288</v>
      </c>
      <c r="H226">
        <v>9</v>
      </c>
      <c r="I226">
        <v>2592</v>
      </c>
    </row>
    <row r="227" spans="3:9" x14ac:dyDescent="0.25">
      <c r="C227" t="str">
        <v>Ram Mahesh</v>
      </c>
      <c r="D227" t="str">
        <v>Australia</v>
      </c>
      <c r="E227" t="str">
        <v>Milk Bars</v>
      </c>
      <c r="F227" s="23">
        <v>5670</v>
      </c>
      <c r="G227">
        <v>297</v>
      </c>
      <c r="H227">
        <v>9.33</v>
      </c>
      <c r="I227">
        <v>2771.01</v>
      </c>
    </row>
    <row r="228" spans="3:9" x14ac:dyDescent="0.25">
      <c r="C228" t="str">
        <v>Brien Boise</v>
      </c>
      <c r="D228" t="str">
        <v>USA</v>
      </c>
      <c r="E228" t="str">
        <v>Organic Choco Syrup</v>
      </c>
      <c r="F228" s="23">
        <v>4753</v>
      </c>
      <c r="G228">
        <v>300</v>
      </c>
      <c r="H228">
        <v>16.73</v>
      </c>
      <c r="I228">
        <v>5019</v>
      </c>
    </row>
    <row r="229" spans="3:9" x14ac:dyDescent="0.25">
      <c r="C229" t="str">
        <v>Ches Bonnell</v>
      </c>
      <c r="D229" t="str">
        <v>Canada</v>
      </c>
      <c r="E229" t="str">
        <v>99% Dark &amp; Pure</v>
      </c>
      <c r="F229" s="23">
        <v>2870</v>
      </c>
      <c r="G229">
        <v>300</v>
      </c>
      <c r="H229">
        <v>7.64</v>
      </c>
      <c r="I229">
        <v>2292</v>
      </c>
    </row>
    <row r="230" spans="3:9" x14ac:dyDescent="0.25">
      <c r="C230" t="str">
        <v>Gunar Cockshoot</v>
      </c>
      <c r="D230" t="str">
        <v>Australia</v>
      </c>
      <c r="E230" t="str">
        <v>Baker's Choco Chips</v>
      </c>
      <c r="F230" s="23">
        <v>8841</v>
      </c>
      <c r="G230">
        <v>303</v>
      </c>
      <c r="H230">
        <v>5.6</v>
      </c>
      <c r="I230">
        <v>1696.8</v>
      </c>
    </row>
    <row r="231" spans="3:9" x14ac:dyDescent="0.25">
      <c r="C231" t="str">
        <v>Oby Sorrel</v>
      </c>
      <c r="D231" t="str">
        <v>Canada</v>
      </c>
      <c r="E231" t="str">
        <v>Choco Coated Almonds</v>
      </c>
      <c r="F231" s="23">
        <v>6657</v>
      </c>
      <c r="G231">
        <v>303</v>
      </c>
      <c r="H231">
        <v>8.65</v>
      </c>
      <c r="I231">
        <v>2620.9500000000003</v>
      </c>
    </row>
    <row r="232" spans="3:9" x14ac:dyDescent="0.25">
      <c r="C232" t="str">
        <v>Barr Faughny</v>
      </c>
      <c r="D232" t="str">
        <v>USA</v>
      </c>
      <c r="E232" t="str">
        <v>Eclairs</v>
      </c>
      <c r="F232" s="23">
        <v>1589</v>
      </c>
      <c r="G232">
        <v>303</v>
      </c>
      <c r="H232">
        <v>3.11</v>
      </c>
      <c r="I232">
        <v>942.32999999999993</v>
      </c>
    </row>
    <row r="233" spans="3:9" x14ac:dyDescent="0.25">
      <c r="C233" t="str">
        <v>Ram Mahesh</v>
      </c>
      <c r="D233" t="str">
        <v>Canada</v>
      </c>
      <c r="E233" t="str">
        <v>Organic Choco Syrup</v>
      </c>
      <c r="F233" s="23">
        <v>3164</v>
      </c>
      <c r="G233">
        <v>306</v>
      </c>
      <c r="H233">
        <v>16.73</v>
      </c>
      <c r="I233">
        <v>5119.38</v>
      </c>
    </row>
    <row r="234" spans="3:9" x14ac:dyDescent="0.25">
      <c r="C234" t="str">
        <v>Gunar Cockshoot</v>
      </c>
      <c r="D234" t="str">
        <v>USA</v>
      </c>
      <c r="E234" t="str">
        <v>Peanut Butter Cubes</v>
      </c>
      <c r="F234" s="23">
        <v>819</v>
      </c>
      <c r="G234">
        <v>306</v>
      </c>
      <c r="H234">
        <v>12.37</v>
      </c>
      <c r="I234">
        <v>3785.22</v>
      </c>
    </row>
    <row r="235" spans="3:9" x14ac:dyDescent="0.25">
      <c r="C235" t="str">
        <v>Carla Molina</v>
      </c>
      <c r="D235" t="str">
        <v>Canada</v>
      </c>
      <c r="E235" t="str">
        <v>Caramel Stuffed Bars</v>
      </c>
      <c r="F235" s="23">
        <v>854</v>
      </c>
      <c r="G235">
        <v>309</v>
      </c>
      <c r="H235">
        <v>10.38</v>
      </c>
      <c r="I235">
        <v>3207.42</v>
      </c>
    </row>
    <row r="236" spans="3:9" x14ac:dyDescent="0.25">
      <c r="C236" t="str">
        <v>Ches Bonnell</v>
      </c>
      <c r="D236" t="str">
        <v>Australia</v>
      </c>
      <c r="E236" t="str">
        <v>70% Dark Bites</v>
      </c>
      <c r="F236" s="23">
        <v>10129</v>
      </c>
      <c r="G236">
        <v>312</v>
      </c>
      <c r="H236">
        <v>14.49</v>
      </c>
      <c r="I236">
        <v>4520.88</v>
      </c>
    </row>
    <row r="237" spans="3:9" x14ac:dyDescent="0.25">
      <c r="C237" t="str">
        <v>Gunar Cockshoot</v>
      </c>
      <c r="D237" t="str">
        <v>India</v>
      </c>
      <c r="E237" t="str">
        <v>Caramel Stuffed Bars</v>
      </c>
      <c r="F237" s="23">
        <v>3689</v>
      </c>
      <c r="G237">
        <v>312</v>
      </c>
      <c r="H237">
        <v>10.38</v>
      </c>
      <c r="I237">
        <v>3238.5600000000004</v>
      </c>
    </row>
    <row r="238" spans="3:9" x14ac:dyDescent="0.25">
      <c r="C238" t="str">
        <v>Gunar Cockshoot</v>
      </c>
      <c r="D238" t="str">
        <v>New Zealand</v>
      </c>
      <c r="E238" t="str">
        <v>Manuka Honey Choco</v>
      </c>
      <c r="F238" s="23">
        <v>4592</v>
      </c>
      <c r="G238">
        <v>324</v>
      </c>
      <c r="H238">
        <v>7.16</v>
      </c>
      <c r="I238">
        <v>2319.84</v>
      </c>
    </row>
    <row r="239" spans="3:9" x14ac:dyDescent="0.25">
      <c r="C239" t="str">
        <v>Gunar Cockshoot</v>
      </c>
      <c r="D239" t="str">
        <v>New Zealand</v>
      </c>
      <c r="E239" t="str">
        <v>Caramel Stuffed Bars</v>
      </c>
      <c r="F239" s="23">
        <v>7308</v>
      </c>
      <c r="G239">
        <v>327</v>
      </c>
      <c r="H239">
        <v>10.38</v>
      </c>
      <c r="I239">
        <v>3394.26</v>
      </c>
    </row>
    <row r="240" spans="3:9" x14ac:dyDescent="0.25">
      <c r="C240" t="str">
        <v>Ches Bonnell</v>
      </c>
      <c r="D240" t="str">
        <v>New Zealand</v>
      </c>
      <c r="E240" t="str">
        <v>Mint Chip Choco</v>
      </c>
      <c r="F240" s="23">
        <v>4487</v>
      </c>
      <c r="G240">
        <v>333</v>
      </c>
      <c r="H240">
        <v>8.7899999999999991</v>
      </c>
      <c r="I240">
        <v>2927.0699999999997</v>
      </c>
    </row>
    <row r="241" spans="3:9" x14ac:dyDescent="0.25">
      <c r="C241" t="str">
        <v>Gigi Bohling</v>
      </c>
      <c r="D241" t="str">
        <v>India</v>
      </c>
      <c r="E241" t="str">
        <v>Orange Choco</v>
      </c>
      <c r="F241" s="23">
        <v>15610</v>
      </c>
      <c r="G241">
        <v>339</v>
      </c>
      <c r="H241">
        <v>10.62</v>
      </c>
      <c r="I241">
        <v>3600.18</v>
      </c>
    </row>
    <row r="242" spans="3:9" x14ac:dyDescent="0.25">
      <c r="C242" t="str">
        <v>Oby Sorrel</v>
      </c>
      <c r="D242" t="str">
        <v>Canada</v>
      </c>
      <c r="E242" t="str">
        <v>Manuka Honey Choco</v>
      </c>
      <c r="F242" s="23">
        <v>2471</v>
      </c>
      <c r="G242">
        <v>342</v>
      </c>
      <c r="H242">
        <v>7.16</v>
      </c>
      <c r="I242">
        <v>2448.7200000000003</v>
      </c>
    </row>
    <row r="243" spans="3:9" x14ac:dyDescent="0.25">
      <c r="C243" t="str">
        <v>Barr Faughny</v>
      </c>
      <c r="D243" t="str">
        <v>Australia</v>
      </c>
      <c r="E243" t="str">
        <v>Smooth Sliky Salty</v>
      </c>
      <c r="F243" s="23">
        <v>4326</v>
      </c>
      <c r="G243">
        <v>348</v>
      </c>
      <c r="H243">
        <v>5.79</v>
      </c>
      <c r="I243">
        <v>2014.92</v>
      </c>
    </row>
    <row r="244" spans="3:9" x14ac:dyDescent="0.25">
      <c r="C244" t="str">
        <v>Gigi Bohling</v>
      </c>
      <c r="D244" t="str">
        <v>Canada</v>
      </c>
      <c r="E244" t="str">
        <v>Eclairs</v>
      </c>
      <c r="F244" s="23">
        <v>3339</v>
      </c>
      <c r="G244">
        <v>348</v>
      </c>
      <c r="H244">
        <v>3.11</v>
      </c>
      <c r="I244">
        <v>1082.28</v>
      </c>
    </row>
    <row r="245" spans="3:9" x14ac:dyDescent="0.25">
      <c r="C245" t="str">
        <v>Gigi Bohling</v>
      </c>
      <c r="D245" t="str">
        <v>USA</v>
      </c>
      <c r="E245" t="str">
        <v>Manuka Honey Choco</v>
      </c>
      <c r="F245" s="23">
        <v>4480</v>
      </c>
      <c r="G245">
        <v>357</v>
      </c>
      <c r="H245">
        <v>7.16</v>
      </c>
      <c r="I245">
        <v>2556.12</v>
      </c>
    </row>
    <row r="246" spans="3:9" x14ac:dyDescent="0.25">
      <c r="C246" t="str">
        <v>Brien Boise</v>
      </c>
      <c r="D246" t="str">
        <v>USA</v>
      </c>
      <c r="E246" t="str">
        <v>Orange Choco</v>
      </c>
      <c r="F246" s="23">
        <v>2702</v>
      </c>
      <c r="G246">
        <v>363</v>
      </c>
      <c r="H246">
        <v>10.62</v>
      </c>
      <c r="I246">
        <v>3855.0599999999995</v>
      </c>
    </row>
    <row r="247" spans="3:9" x14ac:dyDescent="0.25">
      <c r="C247" t="str">
        <v>Curtice Advani</v>
      </c>
      <c r="D247" t="str">
        <v>India</v>
      </c>
      <c r="E247" t="str">
        <v>70% Dark Bites</v>
      </c>
      <c r="F247" s="23">
        <v>3402</v>
      </c>
      <c r="G247">
        <v>366</v>
      </c>
      <c r="H247">
        <v>14.49</v>
      </c>
      <c r="I247">
        <v>5303.34</v>
      </c>
    </row>
    <row r="248" spans="3:9" x14ac:dyDescent="0.25">
      <c r="C248" t="str">
        <v>Gunar Cockshoot</v>
      </c>
      <c r="D248" t="str">
        <v>New Zealand</v>
      </c>
      <c r="E248" t="str">
        <v>Almond Choco</v>
      </c>
      <c r="F248" s="23">
        <v>938</v>
      </c>
      <c r="G248">
        <v>366</v>
      </c>
      <c r="H248">
        <v>11.88</v>
      </c>
      <c r="I248">
        <v>4348.08</v>
      </c>
    </row>
    <row r="249" spans="3:9" x14ac:dyDescent="0.25">
      <c r="C249" t="str">
        <v>Ches Bonnell</v>
      </c>
      <c r="D249" t="str">
        <v>India</v>
      </c>
      <c r="E249" t="str">
        <v>50% Dark Bites</v>
      </c>
      <c r="F249" s="23">
        <v>1932</v>
      </c>
      <c r="G249">
        <v>369</v>
      </c>
      <c r="H249">
        <v>11.7</v>
      </c>
      <c r="I249">
        <v>4317.3</v>
      </c>
    </row>
    <row r="250" spans="3:9" x14ac:dyDescent="0.25">
      <c r="C250" t="str">
        <v>Ram Mahesh</v>
      </c>
      <c r="D250" t="str">
        <v>USA</v>
      </c>
      <c r="E250" t="str">
        <v>After Nines</v>
      </c>
      <c r="F250" s="23">
        <v>6853</v>
      </c>
      <c r="G250">
        <v>372</v>
      </c>
      <c r="H250">
        <v>9.77</v>
      </c>
      <c r="I250">
        <v>3634.44</v>
      </c>
    </row>
    <row r="251" spans="3:9" x14ac:dyDescent="0.25">
      <c r="C251" t="str">
        <v>Curtice Advani</v>
      </c>
      <c r="D251" t="str">
        <v>USA</v>
      </c>
      <c r="E251" t="str">
        <v>Almond Choco</v>
      </c>
      <c r="F251" s="23">
        <v>1302</v>
      </c>
      <c r="G251">
        <v>402</v>
      </c>
      <c r="H251">
        <v>11.88</v>
      </c>
      <c r="I251">
        <v>4775.76</v>
      </c>
    </row>
    <row r="252" spans="3:9" x14ac:dyDescent="0.25">
      <c r="C252" t="str">
        <v>Curtice Advani</v>
      </c>
      <c r="D252" t="str">
        <v>New Zealand</v>
      </c>
      <c r="E252" t="str">
        <v>Mint Chip Choco</v>
      </c>
      <c r="F252" s="23">
        <v>1904</v>
      </c>
      <c r="G252">
        <v>405</v>
      </c>
      <c r="H252">
        <v>8.7899999999999991</v>
      </c>
      <c r="I252">
        <v>3559.95</v>
      </c>
    </row>
    <row r="253" spans="3:9" x14ac:dyDescent="0.25">
      <c r="C253" t="str">
        <v>Ram Mahesh</v>
      </c>
      <c r="D253" t="str">
        <v>USA</v>
      </c>
      <c r="E253" t="str">
        <v>Peanut Butter Cubes</v>
      </c>
      <c r="F253" s="23">
        <v>8869</v>
      </c>
      <c r="G253">
        <v>432</v>
      </c>
      <c r="H253">
        <v>12.37</v>
      </c>
      <c r="I253">
        <v>5343.8399999999992</v>
      </c>
    </row>
    <row r="254" spans="3:9" x14ac:dyDescent="0.25">
      <c r="C254" t="str">
        <v>Ram Mahesh</v>
      </c>
      <c r="D254" t="str">
        <v>USA</v>
      </c>
      <c r="E254" t="str">
        <v>70% Dark Bites</v>
      </c>
      <c r="F254" s="23">
        <v>2275</v>
      </c>
      <c r="G254">
        <v>447</v>
      </c>
      <c r="H254">
        <v>14.49</v>
      </c>
      <c r="I254">
        <v>6477.03</v>
      </c>
    </row>
    <row r="255" spans="3:9" x14ac:dyDescent="0.25">
      <c r="C255" t="str">
        <v>Curtice Advani</v>
      </c>
      <c r="D255" t="str">
        <v>India</v>
      </c>
      <c r="E255" t="str">
        <v>Baker's Choco Chips</v>
      </c>
      <c r="F255" s="23">
        <v>8008</v>
      </c>
      <c r="G255">
        <v>456</v>
      </c>
      <c r="H255">
        <v>5.6</v>
      </c>
      <c r="I255">
        <v>2553.6</v>
      </c>
    </row>
    <row r="256" spans="3:9" x14ac:dyDescent="0.25">
      <c r="C256" t="str">
        <v>Brien Boise</v>
      </c>
      <c r="D256" t="str">
        <v>USA</v>
      </c>
      <c r="E256" t="str">
        <v>Choco Coated Almonds</v>
      </c>
      <c r="F256" s="23">
        <v>6706</v>
      </c>
      <c r="G256">
        <v>459</v>
      </c>
      <c r="H256">
        <v>8.65</v>
      </c>
      <c r="I256">
        <v>3970.3500000000004</v>
      </c>
    </row>
    <row r="257" spans="3:9" x14ac:dyDescent="0.25">
      <c r="C257" t="str">
        <v>Curtice Advani</v>
      </c>
      <c r="D257" t="str">
        <v>New Zealand</v>
      </c>
      <c r="E257" t="str">
        <v>Caramel Stuffed Bars</v>
      </c>
      <c r="F257" s="23">
        <v>3556</v>
      </c>
      <c r="G257">
        <v>459</v>
      </c>
      <c r="H257">
        <v>10.38</v>
      </c>
      <c r="I257">
        <v>4764.42</v>
      </c>
    </row>
    <row r="258" spans="3:9" x14ac:dyDescent="0.25">
      <c r="C258" t="str">
        <v>Husein Augar</v>
      </c>
      <c r="D258" t="str">
        <v>India</v>
      </c>
      <c r="E258" t="str">
        <v>Orange Choco</v>
      </c>
      <c r="F258" s="23">
        <v>8463</v>
      </c>
      <c r="G258">
        <v>492</v>
      </c>
      <c r="H258">
        <v>10.62</v>
      </c>
      <c r="I258">
        <v>5225.04</v>
      </c>
    </row>
    <row r="259" spans="3:9" x14ac:dyDescent="0.25">
      <c r="C259" t="str">
        <v>Gunar Cockshoot</v>
      </c>
      <c r="D259" t="str">
        <v>India</v>
      </c>
      <c r="E259" t="str">
        <v>Choco Coated Almonds</v>
      </c>
      <c r="F259" s="23">
        <v>7777</v>
      </c>
      <c r="G259">
        <v>504</v>
      </c>
      <c r="H259">
        <v>8.65</v>
      </c>
      <c r="I259">
        <v>4359.6000000000004</v>
      </c>
    </row>
    <row r="260" spans="3:9" x14ac:dyDescent="0.25">
      <c r="C260" t="str">
        <v>Brien Boise</v>
      </c>
      <c r="D260" t="str">
        <v>Australia</v>
      </c>
      <c r="E260" t="str">
        <v>Milk Bars</v>
      </c>
      <c r="F260" s="23">
        <v>819</v>
      </c>
      <c r="G260">
        <v>510</v>
      </c>
      <c r="H260">
        <v>9.33</v>
      </c>
      <c r="I260">
        <v>4758.3</v>
      </c>
    </row>
    <row r="261" spans="3:9" x14ac:dyDescent="0.25">
      <c r="C261" t="str">
        <v>Barr Faughny</v>
      </c>
      <c r="D261" t="str">
        <v>Canada</v>
      </c>
      <c r="E261" t="str">
        <v>Organic Choco Syrup</v>
      </c>
      <c r="F261" s="23">
        <v>798</v>
      </c>
      <c r="G261">
        <v>519</v>
      </c>
      <c r="H261">
        <v>16.73</v>
      </c>
      <c r="I261">
        <v>8682.8700000000008</v>
      </c>
    </row>
    <row r="262" spans="3:9" x14ac:dyDescent="0.25">
      <c r="C262" t="str">
        <v>Oby Sorrel</v>
      </c>
      <c r="D262" t="str">
        <v>Australia</v>
      </c>
      <c r="E262" t="str">
        <v>50% Dark Bites</v>
      </c>
      <c r="F262" s="23">
        <v>5586</v>
      </c>
      <c r="G262">
        <v>525</v>
      </c>
      <c r="H262">
        <v>11.7</v>
      </c>
      <c r="I262">
        <v>6142.5</v>
      </c>
    </row>
    <row r="313" spans="7:7" x14ac:dyDescent="0.25">
      <c r="G313" s="4"/>
    </row>
    <row r="314" spans="7:7" x14ac:dyDescent="0.25">
      <c r="G314" s="4"/>
    </row>
    <row r="315" spans="7:7" x14ac:dyDescent="0.25">
      <c r="G315" s="4"/>
    </row>
    <row r="316" spans="7:7" x14ac:dyDescent="0.25">
      <c r="G316" s="4"/>
    </row>
    <row r="317" spans="7:7" x14ac:dyDescent="0.25">
      <c r="G317" s="4"/>
    </row>
    <row r="318" spans="7:7" x14ac:dyDescent="0.25">
      <c r="G318" s="4"/>
    </row>
    <row r="319" spans="7:7" x14ac:dyDescent="0.25">
      <c r="G319" s="4"/>
    </row>
    <row r="320" spans="7:7" x14ac:dyDescent="0.25">
      <c r="G320" s="4"/>
    </row>
    <row r="321" spans="7:7" x14ac:dyDescent="0.25">
      <c r="G321" s="4"/>
    </row>
    <row r="322" spans="7:7" x14ac:dyDescent="0.25">
      <c r="G322" s="4"/>
    </row>
    <row r="323" spans="7:7" x14ac:dyDescent="0.25">
      <c r="G323" s="4"/>
    </row>
    <row r="324" spans="7:7" x14ac:dyDescent="0.25">
      <c r="G324" s="4"/>
    </row>
    <row r="325" spans="7:7" x14ac:dyDescent="0.25">
      <c r="G325" s="4"/>
    </row>
    <row r="326" spans="7:7" x14ac:dyDescent="0.25">
      <c r="G326" s="4"/>
    </row>
    <row r="327" spans="7:7" x14ac:dyDescent="0.25">
      <c r="G327" s="4"/>
    </row>
    <row r="328" spans="7:7" x14ac:dyDescent="0.25">
      <c r="G328" s="4"/>
    </row>
    <row r="329" spans="7:7" x14ac:dyDescent="0.25">
      <c r="G329" s="4"/>
    </row>
    <row r="330" spans="7:7" x14ac:dyDescent="0.25">
      <c r="G330" s="4"/>
    </row>
    <row r="331" spans="7:7" x14ac:dyDescent="0.25">
      <c r="G331" s="4"/>
    </row>
    <row r="332" spans="7:7" x14ac:dyDescent="0.25">
      <c r="G332" s="4"/>
    </row>
    <row r="333" spans="7:7" x14ac:dyDescent="0.25">
      <c r="G333" s="4"/>
    </row>
    <row r="334" spans="7:7" x14ac:dyDescent="0.25">
      <c r="G334" s="4"/>
    </row>
    <row r="335" spans="7:7" x14ac:dyDescent="0.25">
      <c r="G335" s="4"/>
    </row>
    <row r="336" spans="7:7" x14ac:dyDescent="0.25">
      <c r="G336" s="4"/>
    </row>
    <row r="337" spans="7:7" x14ac:dyDescent="0.25">
      <c r="G337" s="4"/>
    </row>
    <row r="338" spans="7:7" x14ac:dyDescent="0.25">
      <c r="G338" s="4"/>
    </row>
    <row r="339" spans="7:7" x14ac:dyDescent="0.25">
      <c r="G339" s="4"/>
    </row>
    <row r="340" spans="7:7" x14ac:dyDescent="0.25">
      <c r="G340" s="4"/>
    </row>
    <row r="341" spans="7:7" x14ac:dyDescent="0.25">
      <c r="G341" s="4"/>
    </row>
    <row r="342" spans="7:7" x14ac:dyDescent="0.25">
      <c r="G342" s="4"/>
    </row>
    <row r="343" spans="7:7" x14ac:dyDescent="0.25">
      <c r="G343" s="4"/>
    </row>
    <row r="344" spans="7:7" x14ac:dyDescent="0.25">
      <c r="G344" s="4"/>
    </row>
    <row r="345" spans="7:7" x14ac:dyDescent="0.25">
      <c r="G345" s="4"/>
    </row>
    <row r="346" spans="7:7" x14ac:dyDescent="0.25">
      <c r="G346" s="4"/>
    </row>
    <row r="347" spans="7:7" x14ac:dyDescent="0.25">
      <c r="G347" s="4"/>
    </row>
    <row r="348" spans="7:7" x14ac:dyDescent="0.25">
      <c r="G348" s="4"/>
    </row>
    <row r="349" spans="7:7" x14ac:dyDescent="0.25">
      <c r="G349" s="4"/>
    </row>
    <row r="350" spans="7:7" x14ac:dyDescent="0.25">
      <c r="G350" s="4"/>
    </row>
    <row r="351" spans="7:7" x14ac:dyDescent="0.25">
      <c r="G351" s="4"/>
    </row>
    <row r="352" spans="7:7" x14ac:dyDescent="0.25">
      <c r="G352" s="4"/>
    </row>
    <row r="353" spans="7:7" x14ac:dyDescent="0.25">
      <c r="G353" s="4"/>
    </row>
    <row r="354" spans="7:7" x14ac:dyDescent="0.25">
      <c r="G354" s="4"/>
    </row>
    <row r="355" spans="7:7" x14ac:dyDescent="0.25">
      <c r="G355" s="4"/>
    </row>
    <row r="356" spans="7:7" x14ac:dyDescent="0.25">
      <c r="G356" s="4"/>
    </row>
    <row r="357" spans="7:7" x14ac:dyDescent="0.25">
      <c r="G357" s="4"/>
    </row>
    <row r="358" spans="7:7" x14ac:dyDescent="0.25">
      <c r="G358" s="4"/>
    </row>
    <row r="359" spans="7:7" x14ac:dyDescent="0.25">
      <c r="G359" s="4"/>
    </row>
    <row r="360" spans="7:7" x14ac:dyDescent="0.25">
      <c r="G360" s="4"/>
    </row>
    <row r="361" spans="7:7" x14ac:dyDescent="0.25">
      <c r="G361" s="4"/>
    </row>
    <row r="362" spans="7:7" x14ac:dyDescent="0.25">
      <c r="G362" s="4"/>
    </row>
    <row r="363" spans="7:7" x14ac:dyDescent="0.25">
      <c r="G363" s="4"/>
    </row>
    <row r="364" spans="7:7" x14ac:dyDescent="0.25">
      <c r="G364" s="4"/>
    </row>
    <row r="365" spans="7:7" x14ac:dyDescent="0.25">
      <c r="G365" s="4"/>
    </row>
    <row r="366" spans="7:7" x14ac:dyDescent="0.25">
      <c r="G366" s="4"/>
    </row>
    <row r="367" spans="7:7" x14ac:dyDescent="0.25">
      <c r="G367" s="4"/>
    </row>
    <row r="368" spans="7:7" x14ac:dyDescent="0.25">
      <c r="G368" s="4"/>
    </row>
    <row r="369" spans="7:7" x14ac:dyDescent="0.25">
      <c r="G369" s="4"/>
    </row>
    <row r="370" spans="7:7" x14ac:dyDescent="0.25">
      <c r="G370" s="4"/>
    </row>
    <row r="371" spans="7:7" x14ac:dyDescent="0.25">
      <c r="G371" s="4"/>
    </row>
    <row r="372" spans="7:7" x14ac:dyDescent="0.25">
      <c r="G372" s="4"/>
    </row>
    <row r="373" spans="7:7" x14ac:dyDescent="0.25">
      <c r="G373" s="4"/>
    </row>
    <row r="374" spans="7:7" x14ac:dyDescent="0.25">
      <c r="G374" s="4"/>
    </row>
    <row r="375" spans="7:7" x14ac:dyDescent="0.25">
      <c r="G375" s="4"/>
    </row>
    <row r="376" spans="7:7" x14ac:dyDescent="0.25">
      <c r="G376" s="4"/>
    </row>
    <row r="377" spans="7:7" x14ac:dyDescent="0.25">
      <c r="G377" s="4"/>
    </row>
    <row r="378" spans="7:7" x14ac:dyDescent="0.25">
      <c r="G378" s="4"/>
    </row>
    <row r="379" spans="7:7" x14ac:dyDescent="0.25">
      <c r="G379" s="4"/>
    </row>
    <row r="380" spans="7:7" x14ac:dyDescent="0.25">
      <c r="G380" s="4"/>
    </row>
    <row r="381" spans="7:7" x14ac:dyDescent="0.25">
      <c r="G381" s="4"/>
    </row>
    <row r="382" spans="7:7" x14ac:dyDescent="0.25">
      <c r="G382" s="4"/>
    </row>
    <row r="383" spans="7:7" x14ac:dyDescent="0.25">
      <c r="G383" s="4"/>
    </row>
    <row r="384" spans="7:7" x14ac:dyDescent="0.25">
      <c r="G384" s="4"/>
    </row>
    <row r="385" spans="7:7" x14ac:dyDescent="0.25">
      <c r="G385" s="4"/>
    </row>
    <row r="386" spans="7:7" x14ac:dyDescent="0.25">
      <c r="G386" s="4"/>
    </row>
    <row r="387" spans="7:7" x14ac:dyDescent="0.25">
      <c r="G387" s="4"/>
    </row>
    <row r="388" spans="7:7" x14ac:dyDescent="0.25">
      <c r="G388" s="4"/>
    </row>
    <row r="389" spans="7:7" x14ac:dyDescent="0.25">
      <c r="G389" s="4"/>
    </row>
    <row r="390" spans="7:7" x14ac:dyDescent="0.25">
      <c r="G390" s="4"/>
    </row>
    <row r="391" spans="7:7" x14ac:dyDescent="0.25">
      <c r="G391" s="4"/>
    </row>
    <row r="392" spans="7:7" x14ac:dyDescent="0.25">
      <c r="G392" s="4"/>
    </row>
    <row r="393" spans="7:7" x14ac:dyDescent="0.25">
      <c r="G393" s="4"/>
    </row>
    <row r="394" spans="7:7" x14ac:dyDescent="0.25">
      <c r="G394" s="4"/>
    </row>
    <row r="395" spans="7:7" x14ac:dyDescent="0.25">
      <c r="G395" s="4"/>
    </row>
    <row r="396" spans="7:7" x14ac:dyDescent="0.25">
      <c r="G396" s="4"/>
    </row>
    <row r="397" spans="7:7" x14ac:dyDescent="0.25">
      <c r="G397" s="4"/>
    </row>
    <row r="398" spans="7:7" x14ac:dyDescent="0.25">
      <c r="G398" s="4"/>
    </row>
    <row r="399" spans="7:7" x14ac:dyDescent="0.25">
      <c r="G399" s="4"/>
    </row>
    <row r="400" spans="7:7" x14ac:dyDescent="0.25">
      <c r="G400" s="4"/>
    </row>
    <row r="401" spans="7:7" x14ac:dyDescent="0.25">
      <c r="G401" s="4"/>
    </row>
    <row r="402" spans="7:7" x14ac:dyDescent="0.25">
      <c r="G402" s="4"/>
    </row>
    <row r="403" spans="7:7" x14ac:dyDescent="0.25">
      <c r="G403" s="4"/>
    </row>
    <row r="404" spans="7:7" x14ac:dyDescent="0.25">
      <c r="G404" s="4"/>
    </row>
    <row r="405" spans="7:7" x14ac:dyDescent="0.25">
      <c r="G405" s="4"/>
    </row>
    <row r="406" spans="7:7" x14ac:dyDescent="0.25">
      <c r="G406" s="4"/>
    </row>
    <row r="407" spans="7:7" x14ac:dyDescent="0.25">
      <c r="G407" s="4"/>
    </row>
    <row r="408" spans="7:7" x14ac:dyDescent="0.25">
      <c r="G408" s="4"/>
    </row>
    <row r="409" spans="7:7" x14ac:dyDescent="0.25">
      <c r="G409" s="4"/>
    </row>
    <row r="410" spans="7:7" x14ac:dyDescent="0.25">
      <c r="G410" s="4"/>
    </row>
    <row r="411" spans="7:7" x14ac:dyDescent="0.25">
      <c r="G411" s="4"/>
    </row>
    <row r="412" spans="7:7" x14ac:dyDescent="0.25">
      <c r="G412" s="4"/>
    </row>
    <row r="413" spans="7:7" x14ac:dyDescent="0.25">
      <c r="G413" s="4"/>
    </row>
    <row r="414" spans="7:7" x14ac:dyDescent="0.25">
      <c r="G414" s="4"/>
    </row>
    <row r="415" spans="7:7" x14ac:dyDescent="0.25">
      <c r="G415" s="4"/>
    </row>
    <row r="416" spans="7:7" x14ac:dyDescent="0.25">
      <c r="G416" s="4"/>
    </row>
    <row r="417" spans="7:7" x14ac:dyDescent="0.25">
      <c r="G417" s="4"/>
    </row>
    <row r="418" spans="7:7" x14ac:dyDescent="0.25">
      <c r="G418" s="4"/>
    </row>
    <row r="419" spans="7:7" x14ac:dyDescent="0.25">
      <c r="G419" s="4"/>
    </row>
    <row r="420" spans="7:7" x14ac:dyDescent="0.25">
      <c r="G420" s="4"/>
    </row>
    <row r="421" spans="7:7" x14ac:dyDescent="0.25">
      <c r="G421" s="4"/>
    </row>
    <row r="422" spans="7:7" x14ac:dyDescent="0.25">
      <c r="G422" s="4"/>
    </row>
    <row r="423" spans="7:7" x14ac:dyDescent="0.25">
      <c r="G423" s="4"/>
    </row>
    <row r="424" spans="7:7" x14ac:dyDescent="0.25">
      <c r="G424" s="4"/>
    </row>
    <row r="425" spans="7:7" x14ac:dyDescent="0.25">
      <c r="G425" s="4"/>
    </row>
    <row r="426" spans="7:7" x14ac:dyDescent="0.25">
      <c r="G426" s="4"/>
    </row>
    <row r="427" spans="7:7" x14ac:dyDescent="0.25">
      <c r="G427" s="4"/>
    </row>
    <row r="428" spans="7:7" x14ac:dyDescent="0.25">
      <c r="G428" s="4"/>
    </row>
    <row r="429" spans="7:7" x14ac:dyDescent="0.25">
      <c r="G429" s="4"/>
    </row>
    <row r="430" spans="7:7" x14ac:dyDescent="0.25">
      <c r="G430" s="4"/>
    </row>
    <row r="431" spans="7:7" x14ac:dyDescent="0.25">
      <c r="G431" s="4"/>
    </row>
    <row r="432" spans="7:7" x14ac:dyDescent="0.25">
      <c r="G432" s="4"/>
    </row>
    <row r="433" spans="7:7" x14ac:dyDescent="0.25">
      <c r="G433" s="4"/>
    </row>
    <row r="434" spans="7:7" x14ac:dyDescent="0.25">
      <c r="G434" s="4"/>
    </row>
    <row r="435" spans="7:7" x14ac:dyDescent="0.25">
      <c r="G435" s="4"/>
    </row>
    <row r="436" spans="7:7" x14ac:dyDescent="0.25">
      <c r="G436" s="4"/>
    </row>
    <row r="437" spans="7:7" x14ac:dyDescent="0.25">
      <c r="G437" s="4"/>
    </row>
    <row r="438" spans="7:7" x14ac:dyDescent="0.25">
      <c r="G438" s="4"/>
    </row>
    <row r="439" spans="7:7" x14ac:dyDescent="0.25">
      <c r="G439" s="4"/>
    </row>
    <row r="440" spans="7:7" x14ac:dyDescent="0.25">
      <c r="G440" s="4"/>
    </row>
    <row r="441" spans="7:7" x14ac:dyDescent="0.25">
      <c r="G441" s="4"/>
    </row>
    <row r="442" spans="7:7" x14ac:dyDescent="0.25">
      <c r="G442" s="4"/>
    </row>
    <row r="443" spans="7:7" x14ac:dyDescent="0.25">
      <c r="G443" s="4"/>
    </row>
    <row r="444" spans="7:7" x14ac:dyDescent="0.25">
      <c r="G444" s="4"/>
    </row>
    <row r="445" spans="7:7" x14ac:dyDescent="0.25">
      <c r="G445" s="4"/>
    </row>
    <row r="446" spans="7:7" x14ac:dyDescent="0.25">
      <c r="G446" s="4"/>
    </row>
    <row r="447" spans="7:7" x14ac:dyDescent="0.25">
      <c r="G447" s="4"/>
    </row>
    <row r="448" spans="7:7" x14ac:dyDescent="0.25">
      <c r="G448" s="4"/>
    </row>
    <row r="449" spans="7:7" x14ac:dyDescent="0.25">
      <c r="G449" s="4"/>
    </row>
    <row r="450" spans="7:7" x14ac:dyDescent="0.25">
      <c r="G450" s="4"/>
    </row>
    <row r="451" spans="7:7" x14ac:dyDescent="0.25">
      <c r="G451" s="4"/>
    </row>
    <row r="452" spans="7:7" x14ac:dyDescent="0.25">
      <c r="G452" s="4"/>
    </row>
    <row r="453" spans="7:7" x14ac:dyDescent="0.25">
      <c r="G453" s="4"/>
    </row>
    <row r="454" spans="7:7" x14ac:dyDescent="0.25">
      <c r="G454" s="4"/>
    </row>
    <row r="455" spans="7:7" x14ac:dyDescent="0.25">
      <c r="G455" s="4"/>
    </row>
    <row r="456" spans="7:7" x14ac:dyDescent="0.25">
      <c r="G456" s="4"/>
    </row>
    <row r="457" spans="7:7" x14ac:dyDescent="0.25">
      <c r="G457" s="4"/>
    </row>
    <row r="458" spans="7:7" x14ac:dyDescent="0.25">
      <c r="G458" s="4"/>
    </row>
    <row r="459" spans="7:7" x14ac:dyDescent="0.25">
      <c r="G459" s="4"/>
    </row>
    <row r="460" spans="7:7" x14ac:dyDescent="0.25">
      <c r="G460" s="4"/>
    </row>
    <row r="461" spans="7:7" x14ac:dyDescent="0.25">
      <c r="G461" s="4"/>
    </row>
    <row r="462" spans="7:7" x14ac:dyDescent="0.25">
      <c r="G462" s="4"/>
    </row>
    <row r="463" spans="7:7" x14ac:dyDescent="0.25">
      <c r="G463" s="4"/>
    </row>
    <row r="464" spans="7:7" x14ac:dyDescent="0.25">
      <c r="G464" s="4"/>
    </row>
    <row r="465" spans="7:7" x14ac:dyDescent="0.25">
      <c r="G465" s="4"/>
    </row>
    <row r="466" spans="7:7" x14ac:dyDescent="0.25">
      <c r="G466" s="4"/>
    </row>
    <row r="467" spans="7:7" x14ac:dyDescent="0.25">
      <c r="G467" s="4"/>
    </row>
    <row r="468" spans="7:7" x14ac:dyDescent="0.25">
      <c r="G468" s="4"/>
    </row>
    <row r="469" spans="7:7" x14ac:dyDescent="0.25">
      <c r="G469" s="4"/>
    </row>
    <row r="470" spans="7:7" x14ac:dyDescent="0.25">
      <c r="G470" s="4"/>
    </row>
    <row r="471" spans="7:7" x14ac:dyDescent="0.25">
      <c r="G471" s="4"/>
    </row>
    <row r="472" spans="7:7" x14ac:dyDescent="0.25">
      <c r="G472" s="4"/>
    </row>
    <row r="473" spans="7:7" x14ac:dyDescent="0.25">
      <c r="G473" s="4"/>
    </row>
    <row r="474" spans="7:7" x14ac:dyDescent="0.25">
      <c r="G474" s="4"/>
    </row>
    <row r="475" spans="7:7" x14ac:dyDescent="0.25">
      <c r="G475" s="4"/>
    </row>
    <row r="476" spans="7:7" x14ac:dyDescent="0.25">
      <c r="G476" s="4"/>
    </row>
    <row r="477" spans="7:7" x14ac:dyDescent="0.25">
      <c r="G477" s="4"/>
    </row>
    <row r="478" spans="7:7" x14ac:dyDescent="0.25">
      <c r="G478" s="4"/>
    </row>
    <row r="479" spans="7:7" x14ac:dyDescent="0.25">
      <c r="G479" s="4"/>
    </row>
    <row r="480" spans="7:7" x14ac:dyDescent="0.25">
      <c r="G480" s="4"/>
    </row>
    <row r="481" spans="7:7" x14ac:dyDescent="0.25">
      <c r="G481" s="4"/>
    </row>
    <row r="482" spans="7:7" x14ac:dyDescent="0.25">
      <c r="G482" s="4"/>
    </row>
    <row r="483" spans="7:7" x14ac:dyDescent="0.25">
      <c r="G483" s="4"/>
    </row>
    <row r="484" spans="7:7" x14ac:dyDescent="0.25">
      <c r="G484" s="4"/>
    </row>
    <row r="485" spans="7:7" x14ac:dyDescent="0.25">
      <c r="G485" s="4"/>
    </row>
    <row r="486" spans="7:7" x14ac:dyDescent="0.25">
      <c r="G486" s="4"/>
    </row>
    <row r="487" spans="7:7" x14ac:dyDescent="0.25">
      <c r="G487" s="4"/>
    </row>
    <row r="488" spans="7:7" x14ac:dyDescent="0.25">
      <c r="G488" s="4"/>
    </row>
    <row r="489" spans="7:7" x14ac:dyDescent="0.25">
      <c r="G489" s="4"/>
    </row>
    <row r="490" spans="7:7" x14ac:dyDescent="0.25">
      <c r="G490" s="4"/>
    </row>
    <row r="491" spans="7:7" x14ac:dyDescent="0.25">
      <c r="G491" s="4"/>
    </row>
    <row r="492" spans="7:7" x14ac:dyDescent="0.25">
      <c r="G492" s="4"/>
    </row>
    <row r="493" spans="7:7" x14ac:dyDescent="0.25">
      <c r="G493" s="4"/>
    </row>
    <row r="494" spans="7:7" x14ac:dyDescent="0.25">
      <c r="G494" s="4"/>
    </row>
    <row r="495" spans="7:7" x14ac:dyDescent="0.25">
      <c r="G495" s="4"/>
    </row>
    <row r="496" spans="7:7" x14ac:dyDescent="0.25">
      <c r="G496" s="4"/>
    </row>
    <row r="497" spans="7:7" x14ac:dyDescent="0.25">
      <c r="G497" s="4"/>
    </row>
    <row r="498" spans="7:7" x14ac:dyDescent="0.25">
      <c r="G498" s="4"/>
    </row>
    <row r="499" spans="7:7" x14ac:dyDescent="0.25">
      <c r="G499" s="4"/>
    </row>
    <row r="500" spans="7:7" x14ac:dyDescent="0.25">
      <c r="G500" s="4"/>
    </row>
    <row r="501" spans="7:7" x14ac:dyDescent="0.25">
      <c r="G501" s="4"/>
    </row>
    <row r="502" spans="7:7" x14ac:dyDescent="0.25">
      <c r="G502" s="4"/>
    </row>
    <row r="503" spans="7:7" x14ac:dyDescent="0.25">
      <c r="G503" s="4"/>
    </row>
    <row r="504" spans="7:7" x14ac:dyDescent="0.25">
      <c r="G504" s="4"/>
    </row>
    <row r="505" spans="7:7" x14ac:dyDescent="0.25">
      <c r="G505" s="4"/>
    </row>
    <row r="506" spans="7:7" x14ac:dyDescent="0.25">
      <c r="G506" s="4"/>
    </row>
    <row r="507" spans="7:7" x14ac:dyDescent="0.25">
      <c r="G507" s="4"/>
    </row>
    <row r="508" spans="7:7" x14ac:dyDescent="0.25">
      <c r="G508" s="4"/>
    </row>
    <row r="509" spans="7:7" x14ac:dyDescent="0.25">
      <c r="G509" s="4"/>
    </row>
    <row r="510" spans="7:7" x14ac:dyDescent="0.25">
      <c r="G510" s="4"/>
    </row>
    <row r="511" spans="7:7" x14ac:dyDescent="0.25">
      <c r="G511" s="4"/>
    </row>
    <row r="512" spans="7:7" x14ac:dyDescent="0.25">
      <c r="G512" s="4"/>
    </row>
    <row r="513" spans="7:7" x14ac:dyDescent="0.25">
      <c r="G513" s="4"/>
    </row>
    <row r="514" spans="7:7" x14ac:dyDescent="0.25">
      <c r="G514" s="4"/>
    </row>
    <row r="515" spans="7:7" x14ac:dyDescent="0.25">
      <c r="G515" s="4"/>
    </row>
    <row r="516" spans="7:7" x14ac:dyDescent="0.25">
      <c r="G516" s="4"/>
    </row>
    <row r="517" spans="7:7" x14ac:dyDescent="0.25">
      <c r="G517" s="4"/>
    </row>
    <row r="518" spans="7:7" x14ac:dyDescent="0.25">
      <c r="G518" s="4"/>
    </row>
    <row r="519" spans="7:7" x14ac:dyDescent="0.25">
      <c r="G519" s="4"/>
    </row>
    <row r="520" spans="7:7" x14ac:dyDescent="0.25">
      <c r="G520" s="4"/>
    </row>
    <row r="521" spans="7:7" x14ac:dyDescent="0.25">
      <c r="G521" s="4"/>
    </row>
    <row r="522" spans="7:7" x14ac:dyDescent="0.25">
      <c r="G522" s="4"/>
    </row>
    <row r="523" spans="7:7" x14ac:dyDescent="0.25">
      <c r="G523" s="4"/>
    </row>
    <row r="524" spans="7:7" x14ac:dyDescent="0.25">
      <c r="G524" s="4"/>
    </row>
    <row r="525" spans="7:7" x14ac:dyDescent="0.25">
      <c r="G525" s="4"/>
    </row>
    <row r="526" spans="7:7" x14ac:dyDescent="0.25">
      <c r="G526" s="4"/>
    </row>
    <row r="527" spans="7:7" x14ac:dyDescent="0.25">
      <c r="G527" s="4"/>
    </row>
    <row r="528" spans="7:7" x14ac:dyDescent="0.25">
      <c r="G528" s="4"/>
    </row>
    <row r="529" spans="7:7" x14ac:dyDescent="0.25">
      <c r="G529" s="4"/>
    </row>
    <row r="530" spans="7:7" x14ac:dyDescent="0.25">
      <c r="G530" s="4"/>
    </row>
    <row r="531" spans="7:7" x14ac:dyDescent="0.25">
      <c r="G531" s="4"/>
    </row>
    <row r="532" spans="7:7" x14ac:dyDescent="0.25">
      <c r="G532" s="4"/>
    </row>
    <row r="533" spans="7:7" x14ac:dyDescent="0.25">
      <c r="G533" s="4"/>
    </row>
    <row r="534" spans="7:7" x14ac:dyDescent="0.25">
      <c r="G534" s="4"/>
    </row>
    <row r="535" spans="7:7" x14ac:dyDescent="0.25">
      <c r="G535" s="4"/>
    </row>
    <row r="536" spans="7:7" x14ac:dyDescent="0.25">
      <c r="G536" s="4"/>
    </row>
    <row r="537" spans="7:7" x14ac:dyDescent="0.25">
      <c r="G537" s="4"/>
    </row>
    <row r="538" spans="7:7" x14ac:dyDescent="0.25">
      <c r="G538" s="4"/>
    </row>
    <row r="539" spans="7:7" x14ac:dyDescent="0.25">
      <c r="G539" s="4"/>
    </row>
    <row r="540" spans="7:7" x14ac:dyDescent="0.25">
      <c r="G540" s="4"/>
    </row>
    <row r="541" spans="7:7" x14ac:dyDescent="0.25">
      <c r="G541" s="4"/>
    </row>
    <row r="542" spans="7:7" x14ac:dyDescent="0.25">
      <c r="G542" s="4"/>
    </row>
    <row r="543" spans="7:7" x14ac:dyDescent="0.25">
      <c r="G543" s="4"/>
    </row>
    <row r="544" spans="7:7" x14ac:dyDescent="0.25">
      <c r="G544" s="4"/>
    </row>
    <row r="545" spans="7:7" x14ac:dyDescent="0.25">
      <c r="G545" s="4"/>
    </row>
    <row r="546" spans="7:7" x14ac:dyDescent="0.25">
      <c r="G546" s="4"/>
    </row>
    <row r="547" spans="7:7" x14ac:dyDescent="0.25">
      <c r="G547" s="4"/>
    </row>
    <row r="548" spans="7:7" x14ac:dyDescent="0.25">
      <c r="G548" s="4"/>
    </row>
    <row r="549" spans="7:7" x14ac:dyDescent="0.25">
      <c r="G549" s="4"/>
    </row>
    <row r="550" spans="7:7" x14ac:dyDescent="0.25">
      <c r="G550" s="4"/>
    </row>
    <row r="551" spans="7:7" x14ac:dyDescent="0.25">
      <c r="G551" s="4"/>
    </row>
    <row r="552" spans="7:7" x14ac:dyDescent="0.25">
      <c r="G552" s="4"/>
    </row>
    <row r="553" spans="7:7" x14ac:dyDescent="0.25">
      <c r="G553" s="4"/>
    </row>
    <row r="554" spans="7:7" x14ac:dyDescent="0.25">
      <c r="G554" s="4"/>
    </row>
    <row r="555" spans="7:7" x14ac:dyDescent="0.25">
      <c r="G555" s="4"/>
    </row>
    <row r="556" spans="7:7" x14ac:dyDescent="0.25">
      <c r="G556" s="4"/>
    </row>
    <row r="557" spans="7:7" x14ac:dyDescent="0.25">
      <c r="G557" s="4"/>
    </row>
    <row r="558" spans="7:7" x14ac:dyDescent="0.25">
      <c r="G558" s="4"/>
    </row>
    <row r="559" spans="7:7" x14ac:dyDescent="0.25">
      <c r="G559" s="4"/>
    </row>
    <row r="560" spans="7:7" x14ac:dyDescent="0.25">
      <c r="G560" s="4"/>
    </row>
    <row r="561" spans="7:7" x14ac:dyDescent="0.25">
      <c r="G561" s="4"/>
    </row>
    <row r="562" spans="7:7" x14ac:dyDescent="0.25">
      <c r="G562" s="4"/>
    </row>
    <row r="563" spans="7:7" x14ac:dyDescent="0.25">
      <c r="G563" s="4"/>
    </row>
    <row r="564" spans="7:7" x14ac:dyDescent="0.25">
      <c r="G564" s="4"/>
    </row>
    <row r="565" spans="7:7" x14ac:dyDescent="0.25">
      <c r="G565" s="4"/>
    </row>
    <row r="566" spans="7:7" x14ac:dyDescent="0.25">
      <c r="G566" s="4"/>
    </row>
    <row r="567" spans="7:7" x14ac:dyDescent="0.25">
      <c r="G567" s="4"/>
    </row>
    <row r="568" spans="7:7" x14ac:dyDescent="0.25">
      <c r="G568" s="4"/>
    </row>
    <row r="569" spans="7:7" x14ac:dyDescent="0.25">
      <c r="G569" s="4"/>
    </row>
    <row r="570" spans="7:7" x14ac:dyDescent="0.25">
      <c r="G570" s="4"/>
    </row>
    <row r="571" spans="7:7" x14ac:dyDescent="0.25">
      <c r="G571" s="4"/>
    </row>
    <row r="572" spans="7:7" x14ac:dyDescent="0.25">
      <c r="G572" s="4"/>
    </row>
    <row r="573" spans="7:7" x14ac:dyDescent="0.25">
      <c r="G573" s="4"/>
    </row>
    <row r="574" spans="7:7" x14ac:dyDescent="0.25">
      <c r="G574" s="4"/>
    </row>
    <row r="575" spans="7:7" x14ac:dyDescent="0.25">
      <c r="G575" s="4"/>
    </row>
    <row r="576" spans="7:7" x14ac:dyDescent="0.25">
      <c r="G576" s="4"/>
    </row>
    <row r="577" spans="7:7" x14ac:dyDescent="0.25">
      <c r="G577" s="4"/>
    </row>
    <row r="578" spans="7:7" x14ac:dyDescent="0.25">
      <c r="G578" s="4"/>
    </row>
    <row r="579" spans="7:7" x14ac:dyDescent="0.25">
      <c r="G579" s="4"/>
    </row>
    <row r="580" spans="7:7" x14ac:dyDescent="0.25">
      <c r="G580" s="4"/>
    </row>
    <row r="581" spans="7:7" x14ac:dyDescent="0.25">
      <c r="G581" s="4"/>
    </row>
    <row r="582" spans="7:7" x14ac:dyDescent="0.25">
      <c r="G582" s="4"/>
    </row>
    <row r="583" spans="7:7" x14ac:dyDescent="0.25">
      <c r="G583" s="4"/>
    </row>
    <row r="584" spans="7:7" x14ac:dyDescent="0.25">
      <c r="G584" s="4"/>
    </row>
    <row r="585" spans="7:7" x14ac:dyDescent="0.25">
      <c r="G585" s="4"/>
    </row>
    <row r="586" spans="7:7" x14ac:dyDescent="0.25">
      <c r="G586" s="4"/>
    </row>
    <row r="587" spans="7:7" x14ac:dyDescent="0.25">
      <c r="G587" s="4"/>
    </row>
    <row r="588" spans="7:7" x14ac:dyDescent="0.25">
      <c r="G588" s="4"/>
    </row>
    <row r="589" spans="7:7" x14ac:dyDescent="0.25">
      <c r="G589" s="4"/>
    </row>
    <row r="590" spans="7:7" x14ac:dyDescent="0.25">
      <c r="G590" s="4"/>
    </row>
    <row r="591" spans="7:7" x14ac:dyDescent="0.25">
      <c r="G591" s="4"/>
    </row>
    <row r="592" spans="7:7" x14ac:dyDescent="0.25">
      <c r="G592" s="4"/>
    </row>
    <row r="593" spans="7:7" x14ac:dyDescent="0.25">
      <c r="G593" s="4"/>
    </row>
    <row r="594" spans="7:7" x14ac:dyDescent="0.25">
      <c r="G594" s="4"/>
    </row>
    <row r="595" spans="7:7" x14ac:dyDescent="0.25">
      <c r="G595" s="4"/>
    </row>
    <row r="596" spans="7:7" x14ac:dyDescent="0.25">
      <c r="G596" s="4"/>
    </row>
    <row r="597" spans="7:7" x14ac:dyDescent="0.25">
      <c r="G597" s="4"/>
    </row>
    <row r="598" spans="7:7" x14ac:dyDescent="0.25">
      <c r="G598" s="4"/>
    </row>
    <row r="599" spans="7:7" x14ac:dyDescent="0.25">
      <c r="G599" s="4"/>
    </row>
    <row r="600" spans="7:7" x14ac:dyDescent="0.25">
      <c r="G600" s="4"/>
    </row>
    <row r="601" spans="7:7" x14ac:dyDescent="0.25">
      <c r="G601" s="4"/>
    </row>
    <row r="602" spans="7:7" x14ac:dyDescent="0.25">
      <c r="G602" s="4"/>
    </row>
    <row r="603" spans="7:7" x14ac:dyDescent="0.25">
      <c r="G603" s="4"/>
    </row>
    <row r="604" spans="7:7" x14ac:dyDescent="0.25">
      <c r="G604" s="4"/>
    </row>
    <row r="605" spans="7:7" x14ac:dyDescent="0.25">
      <c r="G605" s="4"/>
    </row>
    <row r="606" spans="7:7" x14ac:dyDescent="0.25">
      <c r="G606" s="4"/>
    </row>
    <row r="607" spans="7:7" x14ac:dyDescent="0.25">
      <c r="G607" s="4"/>
    </row>
    <row r="608" spans="7:7" x14ac:dyDescent="0.25">
      <c r="G608" s="4"/>
    </row>
    <row r="609" spans="7:7" x14ac:dyDescent="0.25">
      <c r="G609" s="4"/>
    </row>
    <row r="610" spans="7:7" x14ac:dyDescent="0.25">
      <c r="G610" s="4"/>
    </row>
    <row r="611" spans="7:7" x14ac:dyDescent="0.25">
      <c r="G611" s="4"/>
    </row>
    <row r="612" spans="7:7" x14ac:dyDescent="0.25">
      <c r="G612" s="4"/>
    </row>
    <row r="613" spans="7:7" x14ac:dyDescent="0.25">
      <c r="G613" s="4"/>
    </row>
    <row r="614" spans="7:7" x14ac:dyDescent="0.25">
      <c r="G614" s="4"/>
    </row>
    <row r="615" spans="7:7" x14ac:dyDescent="0.25">
      <c r="G615" s="4"/>
    </row>
    <row r="616" spans="7:7" x14ac:dyDescent="0.25">
      <c r="G616" s="4"/>
    </row>
    <row r="617" spans="7:7" x14ac:dyDescent="0.25">
      <c r="G617" s="4"/>
    </row>
    <row r="618" spans="7:7" x14ac:dyDescent="0.25">
      <c r="G618" s="4"/>
    </row>
    <row r="619" spans="7:7" x14ac:dyDescent="0.25">
      <c r="G619" s="4"/>
    </row>
    <row r="620" spans="7:7" x14ac:dyDescent="0.25">
      <c r="G620" s="4"/>
    </row>
    <row r="621" spans="7:7" x14ac:dyDescent="0.25">
      <c r="G621" s="4"/>
    </row>
    <row r="622" spans="7:7" x14ac:dyDescent="0.25">
      <c r="G622" s="4"/>
    </row>
    <row r="623" spans="7:7" x14ac:dyDescent="0.25">
      <c r="G623" s="4"/>
    </row>
    <row r="624" spans="7:7" x14ac:dyDescent="0.25">
      <c r="G624" s="4"/>
    </row>
    <row r="625" spans="7:7" x14ac:dyDescent="0.25">
      <c r="G625" s="4"/>
    </row>
    <row r="626" spans="7:7" x14ac:dyDescent="0.25">
      <c r="G626" s="4"/>
    </row>
    <row r="627" spans="7:7" x14ac:dyDescent="0.25">
      <c r="G627" s="4"/>
    </row>
    <row r="628" spans="7:7" x14ac:dyDescent="0.25">
      <c r="G628" s="4"/>
    </row>
    <row r="629" spans="7:7" x14ac:dyDescent="0.25">
      <c r="G629" s="4"/>
    </row>
    <row r="630" spans="7:7" x14ac:dyDescent="0.25">
      <c r="G630" s="4"/>
    </row>
    <row r="631" spans="7:7" x14ac:dyDescent="0.25">
      <c r="G631" s="4"/>
    </row>
    <row r="632" spans="7:7" x14ac:dyDescent="0.25">
      <c r="G632" s="4"/>
    </row>
    <row r="633" spans="7:7" x14ac:dyDescent="0.25">
      <c r="G633" s="4"/>
    </row>
    <row r="634" spans="7:7" x14ac:dyDescent="0.25">
      <c r="G634" s="4"/>
    </row>
    <row r="635" spans="7:7" x14ac:dyDescent="0.25">
      <c r="G635" s="4"/>
    </row>
    <row r="636" spans="7:7" x14ac:dyDescent="0.25">
      <c r="G636" s="4"/>
    </row>
    <row r="637" spans="7:7" x14ac:dyDescent="0.25">
      <c r="G637" s="4"/>
    </row>
    <row r="638" spans="7:7" x14ac:dyDescent="0.25">
      <c r="G638" s="4"/>
    </row>
    <row r="639" spans="7:7" x14ac:dyDescent="0.25">
      <c r="G639" s="4"/>
    </row>
    <row r="640" spans="7:7" x14ac:dyDescent="0.25">
      <c r="G640" s="4"/>
    </row>
    <row r="641" spans="7:7" x14ac:dyDescent="0.25">
      <c r="G641" s="4"/>
    </row>
    <row r="642" spans="7:7" x14ac:dyDescent="0.25">
      <c r="G642" s="4"/>
    </row>
    <row r="643" spans="7:7" x14ac:dyDescent="0.25">
      <c r="G643" s="4"/>
    </row>
    <row r="644" spans="7:7" x14ac:dyDescent="0.25">
      <c r="G644" s="4"/>
    </row>
    <row r="645" spans="7:7" x14ac:dyDescent="0.25">
      <c r="G645" s="4"/>
    </row>
    <row r="646" spans="7:7" x14ac:dyDescent="0.25">
      <c r="G646" s="4"/>
    </row>
    <row r="647" spans="7:7" x14ac:dyDescent="0.25">
      <c r="G647" s="4"/>
    </row>
    <row r="648" spans="7:7" x14ac:dyDescent="0.25">
      <c r="G648" s="4"/>
    </row>
    <row r="649" spans="7:7" x14ac:dyDescent="0.25">
      <c r="G649" s="4"/>
    </row>
    <row r="650" spans="7:7" x14ac:dyDescent="0.25">
      <c r="G650" s="4"/>
    </row>
    <row r="651" spans="7:7" x14ac:dyDescent="0.25">
      <c r="G651" s="4"/>
    </row>
    <row r="652" spans="7:7" x14ac:dyDescent="0.25">
      <c r="G652" s="4"/>
    </row>
    <row r="653" spans="7:7" x14ac:dyDescent="0.25">
      <c r="G653" s="4"/>
    </row>
    <row r="654" spans="7:7" x14ac:dyDescent="0.25">
      <c r="G654" s="4"/>
    </row>
    <row r="655" spans="7:7" x14ac:dyDescent="0.25">
      <c r="G655" s="4"/>
    </row>
    <row r="656" spans="7:7" x14ac:dyDescent="0.25">
      <c r="G656" s="4"/>
    </row>
    <row r="657" spans="7:7" x14ac:dyDescent="0.25">
      <c r="G657" s="4"/>
    </row>
    <row r="658" spans="7:7" x14ac:dyDescent="0.25">
      <c r="G658" s="4"/>
    </row>
    <row r="659" spans="7:7" x14ac:dyDescent="0.25">
      <c r="G659" s="4"/>
    </row>
  </sheetData>
  <dataValidations count="2">
    <dataValidation type="list" allowBlank="1" showInputMessage="1" showErrorMessage="1" sqref="G143 M155:N155" xr:uid="{3B55A9AA-81DC-49B4-9F20-726B122747B3}">
      <formula1>$L$145:$L$150</formula1>
    </dataValidation>
    <dataValidation type="list" allowBlank="1" showInputMessage="1" showErrorMessage="1" sqref="H143" xr:uid="{086A9BEE-C162-4DD1-8208-09A2C1CA7B7D}">
      <formula1>$S$146:$S$167</formula1>
    </dataValidation>
  </dataValidations>
  <hyperlinks>
    <hyperlink ref="K15" location="'sales analysis with pivot table'!A1" display="Next page" xr:uid="{02F92F98-CF25-4C8D-BAFA-CBEBCEA20BCE}"/>
  </hyperlink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2F5-5EFA-4665-BEAF-24421EC2488E}">
  <dimension ref="A1:L10"/>
  <sheetViews>
    <sheetView showGridLines="0" workbookViewId="0">
      <selection activeCell="J31" sqref="J31"/>
    </sheetView>
  </sheetViews>
  <sheetFormatPr defaultRowHeight="15" x14ac:dyDescent="0.25"/>
  <cols>
    <col min="1" max="1" width="1.5703125" customWidth="1"/>
    <col min="3" max="3" width="13.140625" bestFit="1" customWidth="1"/>
    <col min="4" max="4" width="14.85546875" bestFit="1" customWidth="1"/>
    <col min="5" max="5" width="8" bestFit="1" customWidth="1"/>
    <col min="6" max="6" width="12.140625" bestFit="1" customWidth="1"/>
    <col min="7" max="7" width="15.85546875" bestFit="1" customWidth="1"/>
    <col min="8" max="8" width="4.7109375" bestFit="1" customWidth="1"/>
    <col min="9" max="9" width="23.5703125" customWidth="1"/>
    <col min="10" max="10" width="23.5703125" style="23" customWidth="1"/>
    <col min="11" max="11" width="23.5703125" customWidth="1"/>
    <col min="12" max="12" width="12.140625" bestFit="1" customWidth="1"/>
    <col min="13" max="47" width="5.7109375" bestFit="1" customWidth="1"/>
    <col min="48" max="258" width="7.28515625" bestFit="1" customWidth="1"/>
    <col min="259" max="271" width="8.28515625" bestFit="1" customWidth="1"/>
    <col min="272" max="272" width="11.28515625" bestFit="1" customWidth="1"/>
  </cols>
  <sheetData>
    <row r="1" spans="1:12" s="3" customFormat="1" ht="41.25" customHeight="1" x14ac:dyDescent="0.25">
      <c r="A1" s="45"/>
      <c r="B1" s="3" t="s">
        <v>75</v>
      </c>
    </row>
    <row r="3" spans="1:12" x14ac:dyDescent="0.25">
      <c r="I3" s="9" t="s">
        <v>46</v>
      </c>
      <c r="J3" s="23" t="s">
        <v>48</v>
      </c>
      <c r="K3" t="s">
        <v>50</v>
      </c>
      <c r="L3" t="s">
        <v>49</v>
      </c>
    </row>
    <row r="4" spans="1:12" x14ac:dyDescent="0.25">
      <c r="I4" s="6" t="s">
        <v>34</v>
      </c>
      <c r="J4" s="23">
        <v>252469</v>
      </c>
      <c r="K4">
        <v>252469</v>
      </c>
      <c r="L4">
        <v>8760</v>
      </c>
    </row>
    <row r="5" spans="1:12" x14ac:dyDescent="0.25">
      <c r="I5" s="6" t="s">
        <v>36</v>
      </c>
      <c r="J5" s="23">
        <v>237944</v>
      </c>
      <c r="K5">
        <v>237944</v>
      </c>
      <c r="L5">
        <v>7302</v>
      </c>
    </row>
    <row r="6" spans="1:12" x14ac:dyDescent="0.25">
      <c r="I6" s="6" t="s">
        <v>37</v>
      </c>
      <c r="J6" s="23">
        <v>218813</v>
      </c>
      <c r="K6">
        <v>218813</v>
      </c>
      <c r="L6">
        <v>7431</v>
      </c>
    </row>
    <row r="7" spans="1:12" x14ac:dyDescent="0.25">
      <c r="I7" s="6" t="s">
        <v>35</v>
      </c>
      <c r="J7" s="23">
        <v>189434</v>
      </c>
      <c r="K7">
        <v>189434</v>
      </c>
      <c r="L7">
        <v>10158</v>
      </c>
    </row>
    <row r="8" spans="1:12" x14ac:dyDescent="0.25">
      <c r="I8" s="6" t="s">
        <v>39</v>
      </c>
      <c r="J8" s="23">
        <v>173530</v>
      </c>
      <c r="K8">
        <v>173530</v>
      </c>
      <c r="L8">
        <v>5745</v>
      </c>
    </row>
    <row r="9" spans="1:12" x14ac:dyDescent="0.25">
      <c r="I9" s="6" t="s">
        <v>38</v>
      </c>
      <c r="J9" s="23">
        <v>168679</v>
      </c>
      <c r="K9">
        <v>168679</v>
      </c>
      <c r="L9">
        <v>6264</v>
      </c>
    </row>
    <row r="10" spans="1:12" x14ac:dyDescent="0.25">
      <c r="I10" s="6" t="s">
        <v>47</v>
      </c>
      <c r="J10" s="23">
        <v>1240869</v>
      </c>
      <c r="K10">
        <v>1240869</v>
      </c>
      <c r="L10">
        <v>45660</v>
      </c>
    </row>
  </sheetData>
  <conditionalFormatting pivot="1" sqref="K4:K9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{AAFC512F-1849-4B5D-A336-44D5BC906A71}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AFC512F-1849-4B5D-A336-44D5BC906A7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K4:K9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F9B1-6A6C-467E-A2FB-914EB7C7212D}">
  <dimension ref="A1:M11"/>
  <sheetViews>
    <sheetView showGridLines="0" workbookViewId="0">
      <selection activeCell="B1" sqref="B1"/>
    </sheetView>
  </sheetViews>
  <sheetFormatPr defaultRowHeight="15" x14ac:dyDescent="0.25"/>
  <cols>
    <col min="1" max="1" width="1.85546875" customWidth="1"/>
    <col min="4" max="4" width="19.42578125" bestFit="1" customWidth="1"/>
    <col min="5" max="5" width="14.85546875" bestFit="1" customWidth="1"/>
    <col min="6" max="6" width="12.28515625" bestFit="1" customWidth="1"/>
    <col min="7" max="7" width="11.28515625" customWidth="1"/>
    <col min="8" max="9" width="19.42578125" bestFit="1" customWidth="1"/>
    <col min="10" max="10" width="14.85546875" bestFit="1" customWidth="1"/>
    <col min="11" max="11" width="14.7109375" customWidth="1"/>
    <col min="12" max="12" width="15.140625" customWidth="1"/>
    <col min="13" max="13" width="12.28515625" bestFit="1" customWidth="1"/>
    <col min="14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7" width="5" bestFit="1" customWidth="1"/>
    <col min="28" max="28" width="4" bestFit="1" customWidth="1"/>
    <col min="29" max="29" width="5" bestFit="1" customWidth="1"/>
    <col min="30" max="30" width="4" bestFit="1" customWidth="1"/>
    <col min="31" max="31" width="6" bestFit="1" customWidth="1"/>
    <col min="32" max="37" width="5" bestFit="1" customWidth="1"/>
    <col min="38" max="38" width="4" bestFit="1" customWidth="1"/>
    <col min="39" max="39" width="5" bestFit="1" customWidth="1"/>
    <col min="40" max="40" width="4" bestFit="1" customWidth="1"/>
    <col min="41" max="47" width="5" bestFit="1" customWidth="1"/>
    <col min="48" max="48" width="6" bestFit="1" customWidth="1"/>
    <col min="49" max="49" width="4" bestFit="1" customWidth="1"/>
    <col min="50" max="51" width="5" bestFit="1" customWidth="1"/>
    <col min="52" max="52" width="4" bestFit="1" customWidth="1"/>
    <col min="53" max="61" width="5" bestFit="1" customWidth="1"/>
    <col min="62" max="62" width="11.28515625" bestFit="1" customWidth="1"/>
    <col min="63" max="64" width="5.85546875" bestFit="1" customWidth="1"/>
    <col min="65" max="65" width="6" bestFit="1" customWidth="1"/>
    <col min="66" max="75" width="5.85546875" bestFit="1" customWidth="1"/>
    <col min="76" max="76" width="5" bestFit="1" customWidth="1"/>
    <col min="77" max="79" width="5.85546875" bestFit="1" customWidth="1"/>
    <col min="80" max="80" width="11.28515625" bestFit="1" customWidth="1"/>
    <col min="81" max="81" width="12.28515625" bestFit="1" customWidth="1"/>
    <col min="82" max="82" width="12.85546875" bestFit="1" customWidth="1"/>
    <col min="83" max="83" width="12.28515625" bestFit="1" customWidth="1"/>
    <col min="84" max="84" width="12.85546875" bestFit="1" customWidth="1"/>
    <col min="85" max="85" width="12.28515625" bestFit="1" customWidth="1"/>
    <col min="86" max="86" width="12.85546875" bestFit="1" customWidth="1"/>
    <col min="87" max="87" width="12.28515625" bestFit="1" customWidth="1"/>
    <col min="88" max="88" width="12.85546875" bestFit="1" customWidth="1"/>
    <col min="89" max="89" width="12.28515625" bestFit="1" customWidth="1"/>
    <col min="90" max="90" width="12.85546875" bestFit="1" customWidth="1"/>
    <col min="91" max="91" width="12.28515625" bestFit="1" customWidth="1"/>
    <col min="92" max="92" width="12.85546875" bestFit="1" customWidth="1"/>
    <col min="93" max="93" width="12.28515625" bestFit="1" customWidth="1"/>
    <col min="94" max="94" width="12.85546875" bestFit="1" customWidth="1"/>
    <col min="95" max="95" width="12.28515625" bestFit="1" customWidth="1"/>
    <col min="96" max="96" width="12.85546875" bestFit="1" customWidth="1"/>
    <col min="97" max="97" width="12.28515625" bestFit="1" customWidth="1"/>
    <col min="98" max="98" width="12.85546875" bestFit="1" customWidth="1"/>
    <col min="99" max="99" width="12.28515625" bestFit="1" customWidth="1"/>
    <col min="100" max="100" width="12.85546875" bestFit="1" customWidth="1"/>
    <col min="101" max="101" width="12.28515625" bestFit="1" customWidth="1"/>
    <col min="102" max="102" width="12.85546875" bestFit="1" customWidth="1"/>
    <col min="103" max="103" width="12.28515625" bestFit="1" customWidth="1"/>
    <col min="104" max="104" width="12.85546875" bestFit="1" customWidth="1"/>
    <col min="105" max="105" width="12.28515625" bestFit="1" customWidth="1"/>
    <col min="106" max="106" width="12.85546875" bestFit="1" customWidth="1"/>
    <col min="107" max="107" width="12.28515625" bestFit="1" customWidth="1"/>
    <col min="108" max="108" width="12.85546875" bestFit="1" customWidth="1"/>
    <col min="109" max="109" width="12.28515625" bestFit="1" customWidth="1"/>
    <col min="110" max="110" width="12.85546875" bestFit="1" customWidth="1"/>
    <col min="111" max="111" width="12.28515625" bestFit="1" customWidth="1"/>
    <col min="112" max="112" width="12.85546875" bestFit="1" customWidth="1"/>
    <col min="113" max="113" width="12.28515625" bestFit="1" customWidth="1"/>
    <col min="114" max="114" width="12.85546875" bestFit="1" customWidth="1"/>
    <col min="115" max="115" width="12.28515625" bestFit="1" customWidth="1"/>
    <col min="116" max="116" width="12.85546875" bestFit="1" customWidth="1"/>
    <col min="117" max="117" width="12.28515625" bestFit="1" customWidth="1"/>
    <col min="118" max="118" width="12.85546875" bestFit="1" customWidth="1"/>
    <col min="119" max="119" width="12.28515625" bestFit="1" customWidth="1"/>
    <col min="120" max="120" width="12.85546875" bestFit="1" customWidth="1"/>
    <col min="121" max="121" width="12.28515625" bestFit="1" customWidth="1"/>
    <col min="122" max="122" width="12.85546875" bestFit="1" customWidth="1"/>
    <col min="123" max="123" width="12.28515625" bestFit="1" customWidth="1"/>
    <col min="124" max="124" width="12.85546875" bestFit="1" customWidth="1"/>
    <col min="125" max="125" width="12.28515625" bestFit="1" customWidth="1"/>
    <col min="126" max="126" width="12.85546875" bestFit="1" customWidth="1"/>
    <col min="127" max="127" width="12.28515625" bestFit="1" customWidth="1"/>
    <col min="128" max="128" width="12.85546875" bestFit="1" customWidth="1"/>
    <col min="129" max="129" width="12.28515625" bestFit="1" customWidth="1"/>
    <col min="130" max="130" width="12.85546875" bestFit="1" customWidth="1"/>
    <col min="131" max="131" width="12.28515625" bestFit="1" customWidth="1"/>
    <col min="132" max="132" width="12.85546875" bestFit="1" customWidth="1"/>
    <col min="133" max="133" width="12.28515625" bestFit="1" customWidth="1"/>
    <col min="134" max="134" width="12.85546875" bestFit="1" customWidth="1"/>
    <col min="135" max="135" width="12.28515625" bestFit="1" customWidth="1"/>
    <col min="136" max="136" width="12.85546875" bestFit="1" customWidth="1"/>
    <col min="137" max="137" width="12.28515625" bestFit="1" customWidth="1"/>
    <col min="138" max="138" width="12.85546875" bestFit="1" customWidth="1"/>
    <col min="139" max="139" width="12.28515625" bestFit="1" customWidth="1"/>
    <col min="140" max="140" width="12.85546875" bestFit="1" customWidth="1"/>
    <col min="141" max="141" width="12.28515625" bestFit="1" customWidth="1"/>
    <col min="142" max="142" width="18" bestFit="1" customWidth="1"/>
    <col min="143" max="143" width="17.42578125" bestFit="1" customWidth="1"/>
    <col min="144" max="266" width="5" bestFit="1" customWidth="1"/>
    <col min="267" max="279" width="6" bestFit="1" customWidth="1"/>
    <col min="280" max="280" width="11.28515625" bestFit="1" customWidth="1"/>
  </cols>
  <sheetData>
    <row r="1" spans="1:13" s="3" customFormat="1" ht="39" customHeight="1" x14ac:dyDescent="0.25">
      <c r="A1" s="45"/>
      <c r="B1" s="3" t="s">
        <v>76</v>
      </c>
    </row>
    <row r="2" spans="1:13" x14ac:dyDescent="0.25">
      <c r="D2" s="51"/>
      <c r="E2" s="51"/>
      <c r="F2" s="51"/>
      <c r="J2" s="51"/>
      <c r="K2" s="51"/>
      <c r="L2" s="51"/>
      <c r="M2" s="51"/>
    </row>
    <row r="5" spans="1:13" x14ac:dyDescent="0.25">
      <c r="H5" s="9" t="s">
        <v>46</v>
      </c>
      <c r="I5" t="s">
        <v>48</v>
      </c>
      <c r="J5" t="s">
        <v>49</v>
      </c>
      <c r="K5" t="s">
        <v>51</v>
      </c>
    </row>
    <row r="6" spans="1:13" x14ac:dyDescent="0.25">
      <c r="H6" s="6" t="s">
        <v>15</v>
      </c>
      <c r="I6">
        <v>68971</v>
      </c>
      <c r="J6">
        <v>1533</v>
      </c>
      <c r="K6" s="43">
        <v>44.990867579908674</v>
      </c>
    </row>
    <row r="7" spans="1:13" x14ac:dyDescent="0.25">
      <c r="H7" s="6" t="s">
        <v>24</v>
      </c>
      <c r="I7">
        <v>35378</v>
      </c>
      <c r="J7">
        <v>1044</v>
      </c>
      <c r="K7" s="43">
        <v>33.88697318007663</v>
      </c>
    </row>
    <row r="8" spans="1:13" x14ac:dyDescent="0.25">
      <c r="H8" s="6" t="s">
        <v>22</v>
      </c>
      <c r="I8">
        <v>66283</v>
      </c>
      <c r="J8">
        <v>2052</v>
      </c>
      <c r="K8" s="43">
        <v>32.301656920077974</v>
      </c>
    </row>
    <row r="9" spans="1:13" x14ac:dyDescent="0.25">
      <c r="H9" s="6" t="s">
        <v>26</v>
      </c>
      <c r="I9">
        <v>70273</v>
      </c>
      <c r="J9">
        <v>2142</v>
      </c>
      <c r="K9" s="43">
        <v>32.807189542483663</v>
      </c>
    </row>
    <row r="10" spans="1:13" x14ac:dyDescent="0.25">
      <c r="H10" s="6" t="s">
        <v>33</v>
      </c>
      <c r="I10">
        <v>69160</v>
      </c>
      <c r="J10">
        <v>1854</v>
      </c>
      <c r="K10" s="43">
        <v>37.303128371089535</v>
      </c>
    </row>
    <row r="11" spans="1:13" x14ac:dyDescent="0.25">
      <c r="H11" s="6" t="s">
        <v>47</v>
      </c>
      <c r="I11">
        <v>310065</v>
      </c>
      <c r="J11">
        <v>8625</v>
      </c>
      <c r="K11" s="43">
        <v>35.949565217391303</v>
      </c>
    </row>
  </sheetData>
  <mergeCells count="2">
    <mergeCell ref="D2:F2"/>
    <mergeCell ref="J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5686-2C1A-450C-A89A-49AC0E15FDF5}">
  <dimension ref="A1:M16"/>
  <sheetViews>
    <sheetView showGridLines="0" workbookViewId="0">
      <selection sqref="A1:XFD1"/>
    </sheetView>
  </sheetViews>
  <sheetFormatPr defaultRowHeight="15" x14ac:dyDescent="0.25"/>
  <cols>
    <col min="1" max="1" width="1.7109375" customWidth="1"/>
    <col min="3" max="3" width="19.85546875" bestFit="1" customWidth="1"/>
    <col min="4" max="4" width="14.85546875" bestFit="1" customWidth="1"/>
    <col min="5" max="5" width="3" bestFit="1" customWidth="1"/>
    <col min="6" max="9" width="4" bestFit="1" customWidth="1"/>
    <col min="10" max="11" width="15.7109375" customWidth="1"/>
    <col min="12" max="12" width="16.42578125" bestFit="1" customWidth="1"/>
    <col min="13" max="13" width="14.85546875" bestFit="1" customWidth="1"/>
    <col min="14" max="16" width="15.7109375" customWidth="1"/>
    <col min="17" max="18" width="4" bestFit="1" customWidth="1"/>
    <col min="19" max="118" width="5" bestFit="1" customWidth="1"/>
    <col min="119" max="124" width="6" bestFit="1" customWidth="1"/>
    <col min="125" max="125" width="11.28515625" bestFit="1" customWidth="1"/>
  </cols>
  <sheetData>
    <row r="1" spans="1:13" s="46" customFormat="1" ht="43.5" customHeight="1" x14ac:dyDescent="0.65">
      <c r="A1" s="21"/>
      <c r="B1" s="46" t="s">
        <v>77</v>
      </c>
    </row>
    <row r="3" spans="1:13" x14ac:dyDescent="0.25">
      <c r="L3" s="9" t="s">
        <v>46</v>
      </c>
      <c r="M3" t="s">
        <v>48</v>
      </c>
    </row>
    <row r="4" spans="1:13" x14ac:dyDescent="0.25">
      <c r="L4" s="6" t="s">
        <v>38</v>
      </c>
    </row>
    <row r="5" spans="1:13" x14ac:dyDescent="0.25">
      <c r="L5" s="12" t="s">
        <v>7</v>
      </c>
      <c r="M5">
        <v>17584</v>
      </c>
    </row>
    <row r="6" spans="1:13" x14ac:dyDescent="0.25">
      <c r="L6" s="6" t="s">
        <v>36</v>
      </c>
    </row>
    <row r="7" spans="1:13" x14ac:dyDescent="0.25">
      <c r="L7" s="12" t="s">
        <v>41</v>
      </c>
      <c r="M7">
        <v>28938</v>
      </c>
    </row>
    <row r="8" spans="1:13" x14ac:dyDescent="0.25">
      <c r="L8" s="6" t="s">
        <v>34</v>
      </c>
    </row>
    <row r="9" spans="1:13" x14ac:dyDescent="0.25">
      <c r="L9" s="12" t="s">
        <v>5</v>
      </c>
      <c r="M9">
        <v>30030</v>
      </c>
    </row>
    <row r="10" spans="1:13" x14ac:dyDescent="0.25">
      <c r="L10" s="6" t="s">
        <v>37</v>
      </c>
    </row>
    <row r="11" spans="1:13" x14ac:dyDescent="0.25">
      <c r="L11" s="12" t="s">
        <v>7</v>
      </c>
      <c r="M11">
        <v>20930</v>
      </c>
    </row>
    <row r="12" spans="1:13" x14ac:dyDescent="0.25">
      <c r="L12" s="6" t="s">
        <v>39</v>
      </c>
    </row>
    <row r="13" spans="1:13" x14ac:dyDescent="0.25">
      <c r="L13" s="12" t="s">
        <v>2</v>
      </c>
      <c r="M13">
        <v>18879</v>
      </c>
    </row>
    <row r="14" spans="1:13" x14ac:dyDescent="0.25">
      <c r="L14" s="6" t="s">
        <v>35</v>
      </c>
    </row>
    <row r="15" spans="1:13" x14ac:dyDescent="0.25">
      <c r="L15" s="12" t="s">
        <v>40</v>
      </c>
      <c r="M15">
        <v>35070</v>
      </c>
    </row>
    <row r="16" spans="1:13" x14ac:dyDescent="0.25">
      <c r="L16" s="6" t="s">
        <v>47</v>
      </c>
      <c r="M16">
        <v>151431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C85C-1314-4FDA-9B42-069EC3843F15}">
  <dimension ref="A1:Y129"/>
  <sheetViews>
    <sheetView showGridLines="0" workbookViewId="0">
      <selection sqref="A1:XFD1"/>
    </sheetView>
  </sheetViews>
  <sheetFormatPr defaultRowHeight="15" x14ac:dyDescent="0.25"/>
  <cols>
    <col min="1" max="1" width="1.85546875" customWidth="1"/>
    <col min="15" max="15" width="16" bestFit="1" customWidth="1"/>
    <col min="16" max="16" width="13" bestFit="1" customWidth="1"/>
    <col min="17" max="17" width="21.85546875" bestFit="1" customWidth="1"/>
    <col min="18" max="18" width="11.85546875" bestFit="1" customWidth="1"/>
    <col min="19" max="19" width="8" bestFit="1" customWidth="1"/>
    <col min="20" max="24" width="17.85546875" customWidth="1"/>
  </cols>
  <sheetData>
    <row r="1" spans="1:25" ht="39" customHeight="1" x14ac:dyDescent="0.65">
      <c r="A1" s="21"/>
      <c r="B1" s="52" t="s">
        <v>78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x14ac:dyDescent="0.25">
      <c r="O2" s="10" t="s">
        <v>11</v>
      </c>
      <c r="P2" s="10" t="s">
        <v>12</v>
      </c>
      <c r="Q2" s="10" t="s">
        <v>0</v>
      </c>
      <c r="R2" s="24" t="s">
        <v>1</v>
      </c>
      <c r="S2" s="10" t="s">
        <v>43</v>
      </c>
    </row>
    <row r="3" spans="1:25" x14ac:dyDescent="0.25">
      <c r="O3" t="s">
        <v>3</v>
      </c>
      <c r="P3" t="s">
        <v>39</v>
      </c>
      <c r="Q3" t="s">
        <v>16</v>
      </c>
      <c r="R3">
        <v>21</v>
      </c>
      <c r="S3">
        <v>168</v>
      </c>
    </row>
    <row r="4" spans="1:25" x14ac:dyDescent="0.25">
      <c r="O4" t="s">
        <v>41</v>
      </c>
      <c r="P4" t="s">
        <v>36</v>
      </c>
      <c r="Q4" t="s">
        <v>26</v>
      </c>
      <c r="R4">
        <v>98</v>
      </c>
      <c r="S4">
        <v>204</v>
      </c>
    </row>
    <row r="5" spans="1:25" x14ac:dyDescent="0.25">
      <c r="O5" t="s">
        <v>9</v>
      </c>
      <c r="P5" t="s">
        <v>35</v>
      </c>
      <c r="Q5" t="s">
        <v>26</v>
      </c>
      <c r="R5">
        <v>98</v>
      </c>
      <c r="S5">
        <v>159</v>
      </c>
    </row>
    <row r="6" spans="1:25" x14ac:dyDescent="0.25">
      <c r="O6" t="s">
        <v>10</v>
      </c>
      <c r="P6" t="s">
        <v>37</v>
      </c>
      <c r="Q6" t="s">
        <v>21</v>
      </c>
      <c r="R6">
        <v>245</v>
      </c>
      <c r="S6">
        <v>288</v>
      </c>
    </row>
    <row r="7" spans="1:25" x14ac:dyDescent="0.25">
      <c r="O7" t="s">
        <v>9</v>
      </c>
      <c r="P7" t="s">
        <v>37</v>
      </c>
      <c r="Q7" t="s">
        <v>4</v>
      </c>
      <c r="R7">
        <v>259</v>
      </c>
      <c r="S7">
        <v>207</v>
      </c>
    </row>
    <row r="8" spans="1:25" x14ac:dyDescent="0.25">
      <c r="O8" t="s">
        <v>5</v>
      </c>
      <c r="P8" t="s">
        <v>39</v>
      </c>
      <c r="Q8" t="s">
        <v>18</v>
      </c>
      <c r="R8">
        <v>385</v>
      </c>
      <c r="S8">
        <v>249</v>
      </c>
    </row>
    <row r="9" spans="1:25" x14ac:dyDescent="0.25">
      <c r="O9" t="s">
        <v>10</v>
      </c>
      <c r="P9" t="s">
        <v>35</v>
      </c>
      <c r="Q9" t="s">
        <v>21</v>
      </c>
      <c r="R9">
        <v>567</v>
      </c>
      <c r="S9">
        <v>228</v>
      </c>
    </row>
    <row r="10" spans="1:25" x14ac:dyDescent="0.25">
      <c r="O10" t="s">
        <v>9</v>
      </c>
      <c r="P10" t="s">
        <v>34</v>
      </c>
      <c r="Q10" t="s">
        <v>17</v>
      </c>
      <c r="R10">
        <v>707</v>
      </c>
      <c r="S10">
        <v>174</v>
      </c>
    </row>
    <row r="11" spans="1:25" x14ac:dyDescent="0.25">
      <c r="O11" t="s">
        <v>41</v>
      </c>
      <c r="P11" t="s">
        <v>37</v>
      </c>
      <c r="Q11" t="s">
        <v>15</v>
      </c>
      <c r="R11">
        <v>714</v>
      </c>
      <c r="S11">
        <v>231</v>
      </c>
    </row>
    <row r="12" spans="1:25" x14ac:dyDescent="0.25">
      <c r="O12" t="s">
        <v>2</v>
      </c>
      <c r="P12" t="s">
        <v>36</v>
      </c>
      <c r="Q12" t="s">
        <v>27</v>
      </c>
      <c r="R12">
        <v>798</v>
      </c>
      <c r="S12">
        <v>519</v>
      </c>
    </row>
    <row r="13" spans="1:25" x14ac:dyDescent="0.25">
      <c r="O13" t="s">
        <v>8</v>
      </c>
      <c r="P13" t="s">
        <v>38</v>
      </c>
      <c r="Q13" t="s">
        <v>13</v>
      </c>
      <c r="R13">
        <v>819</v>
      </c>
      <c r="S13">
        <v>510</v>
      </c>
    </row>
    <row r="14" spans="1:25" x14ac:dyDescent="0.25">
      <c r="O14" t="s">
        <v>3</v>
      </c>
      <c r="P14" t="s">
        <v>35</v>
      </c>
      <c r="Q14" t="s">
        <v>33</v>
      </c>
      <c r="R14">
        <v>819</v>
      </c>
      <c r="S14">
        <v>306</v>
      </c>
    </row>
    <row r="15" spans="1:25" x14ac:dyDescent="0.25">
      <c r="O15" t="s">
        <v>41</v>
      </c>
      <c r="P15" t="s">
        <v>36</v>
      </c>
      <c r="Q15" t="s">
        <v>28</v>
      </c>
      <c r="R15">
        <v>854</v>
      </c>
      <c r="S15">
        <v>309</v>
      </c>
    </row>
    <row r="16" spans="1:25" x14ac:dyDescent="0.25">
      <c r="O16" t="s">
        <v>5</v>
      </c>
      <c r="P16" t="s">
        <v>34</v>
      </c>
      <c r="Q16" t="s">
        <v>19</v>
      </c>
      <c r="R16">
        <v>861</v>
      </c>
      <c r="S16">
        <v>195</v>
      </c>
    </row>
    <row r="17" spans="15:19" x14ac:dyDescent="0.25">
      <c r="O17" t="s">
        <v>3</v>
      </c>
      <c r="P17" t="s">
        <v>37</v>
      </c>
      <c r="Q17" t="s">
        <v>4</v>
      </c>
      <c r="R17">
        <v>938</v>
      </c>
      <c r="S17">
        <v>366</v>
      </c>
    </row>
    <row r="18" spans="15:19" x14ac:dyDescent="0.25">
      <c r="O18" t="s">
        <v>9</v>
      </c>
      <c r="P18" t="s">
        <v>34</v>
      </c>
      <c r="Q18" t="s">
        <v>16</v>
      </c>
      <c r="R18">
        <v>938</v>
      </c>
      <c r="S18">
        <v>189</v>
      </c>
    </row>
    <row r="19" spans="15:19" x14ac:dyDescent="0.25">
      <c r="O19" t="s">
        <v>7</v>
      </c>
      <c r="P19" t="s">
        <v>39</v>
      </c>
      <c r="Q19" t="s">
        <v>27</v>
      </c>
      <c r="R19">
        <v>966</v>
      </c>
      <c r="S19">
        <v>198</v>
      </c>
    </row>
    <row r="20" spans="15:19" x14ac:dyDescent="0.25">
      <c r="O20" t="s">
        <v>3</v>
      </c>
      <c r="P20" t="s">
        <v>36</v>
      </c>
      <c r="Q20" t="s">
        <v>28</v>
      </c>
      <c r="R20">
        <v>973</v>
      </c>
      <c r="S20">
        <v>162</v>
      </c>
    </row>
    <row r="21" spans="15:19" x14ac:dyDescent="0.25">
      <c r="O21" t="s">
        <v>6</v>
      </c>
      <c r="P21" t="s">
        <v>35</v>
      </c>
      <c r="Q21" t="s">
        <v>20</v>
      </c>
      <c r="R21">
        <v>1071</v>
      </c>
      <c r="S21">
        <v>270</v>
      </c>
    </row>
    <row r="22" spans="15:19" x14ac:dyDescent="0.25">
      <c r="O22" t="s">
        <v>9</v>
      </c>
      <c r="P22" t="s">
        <v>37</v>
      </c>
      <c r="Q22" t="s">
        <v>29</v>
      </c>
      <c r="R22">
        <v>1085</v>
      </c>
      <c r="S22">
        <v>273</v>
      </c>
    </row>
    <row r="23" spans="15:19" x14ac:dyDescent="0.25">
      <c r="O23" t="s">
        <v>6</v>
      </c>
      <c r="P23" t="s">
        <v>38</v>
      </c>
      <c r="Q23" t="s">
        <v>27</v>
      </c>
      <c r="R23">
        <v>1134</v>
      </c>
      <c r="S23">
        <v>282</v>
      </c>
    </row>
    <row r="24" spans="15:19" x14ac:dyDescent="0.25">
      <c r="O24" t="s">
        <v>41</v>
      </c>
      <c r="P24" t="s">
        <v>34</v>
      </c>
      <c r="Q24" t="s">
        <v>16</v>
      </c>
      <c r="R24">
        <v>1274</v>
      </c>
      <c r="S24">
        <v>225</v>
      </c>
    </row>
    <row r="25" spans="15:19" x14ac:dyDescent="0.25">
      <c r="O25" t="s">
        <v>6</v>
      </c>
      <c r="P25" t="s">
        <v>35</v>
      </c>
      <c r="Q25" t="s">
        <v>4</v>
      </c>
      <c r="R25">
        <v>1302</v>
      </c>
      <c r="S25">
        <v>402</v>
      </c>
    </row>
    <row r="26" spans="15:19" x14ac:dyDescent="0.25">
      <c r="O26" t="s">
        <v>41</v>
      </c>
      <c r="P26" t="s">
        <v>37</v>
      </c>
      <c r="Q26" t="s">
        <v>30</v>
      </c>
      <c r="R26">
        <v>1526</v>
      </c>
      <c r="S26">
        <v>240</v>
      </c>
    </row>
    <row r="27" spans="15:19" x14ac:dyDescent="0.25">
      <c r="O27" t="s">
        <v>2</v>
      </c>
      <c r="P27" t="s">
        <v>35</v>
      </c>
      <c r="Q27" t="s">
        <v>17</v>
      </c>
      <c r="R27">
        <v>1589</v>
      </c>
      <c r="S27">
        <v>303</v>
      </c>
    </row>
    <row r="28" spans="15:19" x14ac:dyDescent="0.25">
      <c r="O28" t="s">
        <v>8</v>
      </c>
      <c r="P28" t="s">
        <v>38</v>
      </c>
      <c r="Q28" t="s">
        <v>23</v>
      </c>
      <c r="R28">
        <v>1701</v>
      </c>
      <c r="S28">
        <v>234</v>
      </c>
    </row>
    <row r="29" spans="15:19" x14ac:dyDescent="0.25">
      <c r="O29" t="s">
        <v>8</v>
      </c>
      <c r="P29" t="s">
        <v>37</v>
      </c>
      <c r="Q29" t="s">
        <v>19</v>
      </c>
      <c r="R29">
        <v>1771</v>
      </c>
      <c r="S29">
        <v>204</v>
      </c>
    </row>
    <row r="30" spans="15:19" x14ac:dyDescent="0.25">
      <c r="O30" t="s">
        <v>7</v>
      </c>
      <c r="P30" t="s">
        <v>38</v>
      </c>
      <c r="Q30" t="s">
        <v>18</v>
      </c>
      <c r="R30">
        <v>1778</v>
      </c>
      <c r="S30">
        <v>270</v>
      </c>
    </row>
    <row r="31" spans="15:19" x14ac:dyDescent="0.25">
      <c r="O31" t="s">
        <v>2</v>
      </c>
      <c r="P31" t="s">
        <v>39</v>
      </c>
      <c r="Q31" t="s">
        <v>25</v>
      </c>
      <c r="R31">
        <v>1785</v>
      </c>
      <c r="S31">
        <v>462</v>
      </c>
    </row>
    <row r="32" spans="15:19" x14ac:dyDescent="0.25">
      <c r="O32" t="s">
        <v>8</v>
      </c>
      <c r="P32" t="s">
        <v>37</v>
      </c>
      <c r="Q32" t="s">
        <v>22</v>
      </c>
      <c r="R32">
        <v>1890</v>
      </c>
      <c r="S32">
        <v>195</v>
      </c>
    </row>
    <row r="33" spans="15:19" x14ac:dyDescent="0.25">
      <c r="O33" t="s">
        <v>6</v>
      </c>
      <c r="P33" t="s">
        <v>37</v>
      </c>
      <c r="Q33" t="s">
        <v>16</v>
      </c>
      <c r="R33">
        <v>1904</v>
      </c>
      <c r="S33">
        <v>405</v>
      </c>
    </row>
    <row r="34" spans="15:19" x14ac:dyDescent="0.25">
      <c r="O34" t="s">
        <v>41</v>
      </c>
      <c r="P34" t="s">
        <v>36</v>
      </c>
      <c r="Q34" t="s">
        <v>19</v>
      </c>
      <c r="R34">
        <v>1925</v>
      </c>
      <c r="S34">
        <v>192</v>
      </c>
    </row>
    <row r="35" spans="15:19" x14ac:dyDescent="0.25">
      <c r="O35" t="s">
        <v>7</v>
      </c>
      <c r="P35" t="s">
        <v>34</v>
      </c>
      <c r="Q35" t="s">
        <v>14</v>
      </c>
      <c r="R35">
        <v>1932</v>
      </c>
      <c r="S35">
        <v>369</v>
      </c>
    </row>
    <row r="36" spans="15:19" x14ac:dyDescent="0.25">
      <c r="O36" t="s">
        <v>10</v>
      </c>
      <c r="P36" t="s">
        <v>35</v>
      </c>
      <c r="Q36" t="s">
        <v>20</v>
      </c>
      <c r="R36">
        <v>1974</v>
      </c>
      <c r="S36">
        <v>195</v>
      </c>
    </row>
    <row r="37" spans="15:19" x14ac:dyDescent="0.25">
      <c r="O37" t="s">
        <v>8</v>
      </c>
      <c r="P37" t="s">
        <v>34</v>
      </c>
      <c r="Q37" t="s">
        <v>16</v>
      </c>
      <c r="R37">
        <v>2009</v>
      </c>
      <c r="S37">
        <v>219</v>
      </c>
    </row>
    <row r="38" spans="15:19" x14ac:dyDescent="0.25">
      <c r="O38" t="s">
        <v>8</v>
      </c>
      <c r="P38" t="s">
        <v>35</v>
      </c>
      <c r="Q38" t="s">
        <v>29</v>
      </c>
      <c r="R38">
        <v>2023</v>
      </c>
      <c r="S38">
        <v>168</v>
      </c>
    </row>
    <row r="39" spans="15:19" x14ac:dyDescent="0.25">
      <c r="O39" t="s">
        <v>6</v>
      </c>
      <c r="P39" t="s">
        <v>39</v>
      </c>
      <c r="Q39" t="s">
        <v>25</v>
      </c>
      <c r="R39">
        <v>2100</v>
      </c>
      <c r="S39">
        <v>414</v>
      </c>
    </row>
    <row r="40" spans="15:19" x14ac:dyDescent="0.25">
      <c r="O40" t="s">
        <v>41</v>
      </c>
      <c r="P40" t="s">
        <v>35</v>
      </c>
      <c r="Q40" t="s">
        <v>15</v>
      </c>
      <c r="R40">
        <v>2114</v>
      </c>
      <c r="S40">
        <v>186</v>
      </c>
    </row>
    <row r="41" spans="15:19" x14ac:dyDescent="0.25">
      <c r="O41" t="s">
        <v>40</v>
      </c>
      <c r="P41" t="s">
        <v>35</v>
      </c>
      <c r="Q41" t="s">
        <v>30</v>
      </c>
      <c r="R41">
        <v>2275</v>
      </c>
      <c r="S41">
        <v>447</v>
      </c>
    </row>
    <row r="42" spans="15:19" x14ac:dyDescent="0.25">
      <c r="O42" t="s">
        <v>10</v>
      </c>
      <c r="P42" t="s">
        <v>36</v>
      </c>
      <c r="Q42" t="s">
        <v>23</v>
      </c>
      <c r="R42">
        <v>2317</v>
      </c>
      <c r="S42">
        <v>261</v>
      </c>
    </row>
    <row r="43" spans="15:19" x14ac:dyDescent="0.25">
      <c r="O43" t="s">
        <v>41</v>
      </c>
      <c r="P43" t="s">
        <v>37</v>
      </c>
      <c r="Q43" t="s">
        <v>26</v>
      </c>
      <c r="R43">
        <v>2324</v>
      </c>
      <c r="S43">
        <v>177</v>
      </c>
    </row>
    <row r="44" spans="15:19" x14ac:dyDescent="0.25">
      <c r="O44" t="s">
        <v>3</v>
      </c>
      <c r="P44" t="s">
        <v>35</v>
      </c>
      <c r="Q44" t="s">
        <v>14</v>
      </c>
      <c r="R44">
        <v>2415</v>
      </c>
      <c r="S44">
        <v>255</v>
      </c>
    </row>
    <row r="45" spans="15:19" x14ac:dyDescent="0.25">
      <c r="O45" t="s">
        <v>3</v>
      </c>
      <c r="P45" t="s">
        <v>35</v>
      </c>
      <c r="Q45" t="s">
        <v>25</v>
      </c>
      <c r="R45">
        <v>2464</v>
      </c>
      <c r="S45">
        <v>234</v>
      </c>
    </row>
    <row r="46" spans="15:19" x14ac:dyDescent="0.25">
      <c r="O46" t="s">
        <v>10</v>
      </c>
      <c r="P46" t="s">
        <v>36</v>
      </c>
      <c r="Q46" t="s">
        <v>29</v>
      </c>
      <c r="R46">
        <v>2471</v>
      </c>
      <c r="S46">
        <v>342</v>
      </c>
    </row>
    <row r="47" spans="15:19" x14ac:dyDescent="0.25">
      <c r="O47" t="s">
        <v>9</v>
      </c>
      <c r="P47" t="s">
        <v>39</v>
      </c>
      <c r="Q47" t="s">
        <v>18</v>
      </c>
      <c r="R47">
        <v>2639</v>
      </c>
      <c r="S47">
        <v>204</v>
      </c>
    </row>
    <row r="48" spans="15:19" x14ac:dyDescent="0.25">
      <c r="O48" t="s">
        <v>7</v>
      </c>
      <c r="P48" t="s">
        <v>36</v>
      </c>
      <c r="Q48" t="s">
        <v>18</v>
      </c>
      <c r="R48">
        <v>2646</v>
      </c>
      <c r="S48">
        <v>177</v>
      </c>
    </row>
    <row r="49" spans="15:19" x14ac:dyDescent="0.25">
      <c r="O49" t="s">
        <v>8</v>
      </c>
      <c r="P49" t="s">
        <v>35</v>
      </c>
      <c r="Q49" t="s">
        <v>20</v>
      </c>
      <c r="R49">
        <v>2702</v>
      </c>
      <c r="S49">
        <v>363</v>
      </c>
    </row>
    <row r="50" spans="15:19" x14ac:dyDescent="0.25">
      <c r="O50" t="s">
        <v>9</v>
      </c>
      <c r="P50" t="s">
        <v>37</v>
      </c>
      <c r="Q50" t="s">
        <v>26</v>
      </c>
      <c r="R50">
        <v>2856</v>
      </c>
      <c r="S50">
        <v>246</v>
      </c>
    </row>
    <row r="51" spans="15:19" x14ac:dyDescent="0.25">
      <c r="O51" t="s">
        <v>7</v>
      </c>
      <c r="P51" t="s">
        <v>36</v>
      </c>
      <c r="Q51" t="s">
        <v>19</v>
      </c>
      <c r="R51">
        <v>2870</v>
      </c>
      <c r="S51">
        <v>300</v>
      </c>
    </row>
    <row r="52" spans="15:19" x14ac:dyDescent="0.25">
      <c r="O52" t="s">
        <v>9</v>
      </c>
      <c r="P52" t="s">
        <v>36</v>
      </c>
      <c r="Q52" t="s">
        <v>32</v>
      </c>
      <c r="R52">
        <v>2954</v>
      </c>
      <c r="S52">
        <v>189</v>
      </c>
    </row>
    <row r="53" spans="15:19" x14ac:dyDescent="0.25">
      <c r="O53" t="s">
        <v>6</v>
      </c>
      <c r="P53" t="s">
        <v>39</v>
      </c>
      <c r="Q53" t="s">
        <v>29</v>
      </c>
      <c r="R53">
        <v>3052</v>
      </c>
      <c r="S53">
        <v>378</v>
      </c>
    </row>
    <row r="54" spans="15:19" x14ac:dyDescent="0.25">
      <c r="O54" t="s">
        <v>2</v>
      </c>
      <c r="P54" t="s">
        <v>36</v>
      </c>
      <c r="Q54" t="s">
        <v>31</v>
      </c>
      <c r="R54">
        <v>3094</v>
      </c>
      <c r="S54">
        <v>246</v>
      </c>
    </row>
    <row r="55" spans="15:19" x14ac:dyDescent="0.25">
      <c r="O55" t="s">
        <v>40</v>
      </c>
      <c r="P55" t="s">
        <v>39</v>
      </c>
      <c r="Q55" t="s">
        <v>28</v>
      </c>
      <c r="R55">
        <v>3101</v>
      </c>
      <c r="S55">
        <v>225</v>
      </c>
    </row>
    <row r="56" spans="15:19" x14ac:dyDescent="0.25">
      <c r="O56" t="s">
        <v>40</v>
      </c>
      <c r="P56" t="s">
        <v>36</v>
      </c>
      <c r="Q56" t="s">
        <v>27</v>
      </c>
      <c r="R56">
        <v>3164</v>
      </c>
      <c r="S56">
        <v>306</v>
      </c>
    </row>
    <row r="57" spans="15:19" x14ac:dyDescent="0.25">
      <c r="O57" t="s">
        <v>5</v>
      </c>
      <c r="P57" t="s">
        <v>36</v>
      </c>
      <c r="Q57" t="s">
        <v>17</v>
      </c>
      <c r="R57">
        <v>3339</v>
      </c>
      <c r="S57">
        <v>348</v>
      </c>
    </row>
    <row r="58" spans="15:19" x14ac:dyDescent="0.25">
      <c r="O58" t="s">
        <v>6</v>
      </c>
      <c r="P58" t="s">
        <v>34</v>
      </c>
      <c r="Q58" t="s">
        <v>30</v>
      </c>
      <c r="R58">
        <v>3402</v>
      </c>
      <c r="S58">
        <v>366</v>
      </c>
    </row>
    <row r="59" spans="15:19" x14ac:dyDescent="0.25">
      <c r="O59" t="s">
        <v>8</v>
      </c>
      <c r="P59" t="s">
        <v>34</v>
      </c>
      <c r="Q59" t="s">
        <v>31</v>
      </c>
      <c r="R59">
        <v>3507</v>
      </c>
      <c r="S59">
        <v>288</v>
      </c>
    </row>
    <row r="60" spans="15:19" x14ac:dyDescent="0.25">
      <c r="O60" t="s">
        <v>6</v>
      </c>
      <c r="P60" t="s">
        <v>37</v>
      </c>
      <c r="Q60" t="s">
        <v>28</v>
      </c>
      <c r="R60">
        <v>3556</v>
      </c>
      <c r="S60">
        <v>459</v>
      </c>
    </row>
    <row r="61" spans="15:19" x14ac:dyDescent="0.25">
      <c r="O61" t="s">
        <v>3</v>
      </c>
      <c r="P61" t="s">
        <v>34</v>
      </c>
      <c r="Q61" t="s">
        <v>28</v>
      </c>
      <c r="R61">
        <v>3689</v>
      </c>
      <c r="S61">
        <v>312</v>
      </c>
    </row>
    <row r="62" spans="15:19" x14ac:dyDescent="0.25">
      <c r="O62" t="s">
        <v>8</v>
      </c>
      <c r="P62" t="s">
        <v>38</v>
      </c>
      <c r="Q62" t="s">
        <v>32</v>
      </c>
      <c r="R62">
        <v>3752</v>
      </c>
      <c r="S62">
        <v>213</v>
      </c>
    </row>
    <row r="63" spans="15:19" x14ac:dyDescent="0.25">
      <c r="O63" t="s">
        <v>3</v>
      </c>
      <c r="P63" t="s">
        <v>36</v>
      </c>
      <c r="Q63" t="s">
        <v>23</v>
      </c>
      <c r="R63">
        <v>3773</v>
      </c>
      <c r="S63">
        <v>165</v>
      </c>
    </row>
    <row r="64" spans="15:19" x14ac:dyDescent="0.25">
      <c r="O64" t="s">
        <v>40</v>
      </c>
      <c r="P64" t="s">
        <v>34</v>
      </c>
      <c r="Q64" t="s">
        <v>33</v>
      </c>
      <c r="R64">
        <v>3794</v>
      </c>
      <c r="S64">
        <v>159</v>
      </c>
    </row>
    <row r="65" spans="15:19" x14ac:dyDescent="0.25">
      <c r="O65" t="s">
        <v>10</v>
      </c>
      <c r="P65" t="s">
        <v>35</v>
      </c>
      <c r="Q65" t="s">
        <v>18</v>
      </c>
      <c r="R65">
        <v>3808</v>
      </c>
      <c r="S65">
        <v>279</v>
      </c>
    </row>
    <row r="66" spans="15:19" x14ac:dyDescent="0.25">
      <c r="O66" t="s">
        <v>6</v>
      </c>
      <c r="P66" t="s">
        <v>35</v>
      </c>
      <c r="Q66" t="s">
        <v>27</v>
      </c>
      <c r="R66">
        <v>3864</v>
      </c>
      <c r="S66">
        <v>177</v>
      </c>
    </row>
    <row r="67" spans="15:19" x14ac:dyDescent="0.25">
      <c r="O67" t="s">
        <v>9</v>
      </c>
      <c r="P67" t="s">
        <v>39</v>
      </c>
      <c r="Q67" t="s">
        <v>24</v>
      </c>
      <c r="R67">
        <v>3920</v>
      </c>
      <c r="S67">
        <v>306</v>
      </c>
    </row>
    <row r="68" spans="15:19" x14ac:dyDescent="0.25">
      <c r="O68" t="s">
        <v>5</v>
      </c>
      <c r="P68" t="s">
        <v>39</v>
      </c>
      <c r="Q68" t="s">
        <v>24</v>
      </c>
      <c r="R68">
        <v>4018</v>
      </c>
      <c r="S68">
        <v>171</v>
      </c>
    </row>
    <row r="69" spans="15:19" x14ac:dyDescent="0.25">
      <c r="O69" t="s">
        <v>40</v>
      </c>
      <c r="P69" t="s">
        <v>34</v>
      </c>
      <c r="Q69" t="s">
        <v>19</v>
      </c>
      <c r="R69">
        <v>4018</v>
      </c>
      <c r="S69">
        <v>162</v>
      </c>
    </row>
    <row r="70" spans="15:19" x14ac:dyDescent="0.25">
      <c r="O70" t="s">
        <v>6</v>
      </c>
      <c r="P70" t="s">
        <v>34</v>
      </c>
      <c r="Q70" t="s">
        <v>27</v>
      </c>
      <c r="R70">
        <v>4242</v>
      </c>
      <c r="S70">
        <v>207</v>
      </c>
    </row>
    <row r="71" spans="15:19" x14ac:dyDescent="0.25">
      <c r="O71" t="s">
        <v>9</v>
      </c>
      <c r="P71" t="s">
        <v>37</v>
      </c>
      <c r="Q71" t="s">
        <v>25</v>
      </c>
      <c r="R71">
        <v>4305</v>
      </c>
      <c r="S71">
        <v>156</v>
      </c>
    </row>
    <row r="72" spans="15:19" x14ac:dyDescent="0.25">
      <c r="O72" t="s">
        <v>2</v>
      </c>
      <c r="P72" t="s">
        <v>38</v>
      </c>
      <c r="Q72" t="s">
        <v>31</v>
      </c>
      <c r="R72">
        <v>4326</v>
      </c>
      <c r="S72">
        <v>348</v>
      </c>
    </row>
    <row r="73" spans="15:19" x14ac:dyDescent="0.25">
      <c r="O73" t="s">
        <v>2</v>
      </c>
      <c r="P73" t="s">
        <v>38</v>
      </c>
      <c r="Q73" t="s">
        <v>23</v>
      </c>
      <c r="R73">
        <v>4417</v>
      </c>
      <c r="S73">
        <v>153</v>
      </c>
    </row>
    <row r="74" spans="15:19" x14ac:dyDescent="0.25">
      <c r="O74" t="s">
        <v>40</v>
      </c>
      <c r="P74" t="s">
        <v>36</v>
      </c>
      <c r="Q74" t="s">
        <v>13</v>
      </c>
      <c r="R74">
        <v>4424</v>
      </c>
      <c r="S74">
        <v>201</v>
      </c>
    </row>
    <row r="75" spans="15:19" x14ac:dyDescent="0.25">
      <c r="O75" t="s">
        <v>7</v>
      </c>
      <c r="P75" t="s">
        <v>39</v>
      </c>
      <c r="Q75" t="s">
        <v>17</v>
      </c>
      <c r="R75">
        <v>4438</v>
      </c>
      <c r="S75">
        <v>246</v>
      </c>
    </row>
    <row r="76" spans="15:19" x14ac:dyDescent="0.25">
      <c r="O76" t="s">
        <v>5</v>
      </c>
      <c r="P76" t="s">
        <v>35</v>
      </c>
      <c r="Q76" t="s">
        <v>29</v>
      </c>
      <c r="R76">
        <v>4480</v>
      </c>
      <c r="S76">
        <v>357</v>
      </c>
    </row>
    <row r="77" spans="15:19" x14ac:dyDescent="0.25">
      <c r="O77" t="s">
        <v>7</v>
      </c>
      <c r="P77" t="s">
        <v>37</v>
      </c>
      <c r="Q77" t="s">
        <v>16</v>
      </c>
      <c r="R77">
        <v>4487</v>
      </c>
      <c r="S77">
        <v>333</v>
      </c>
    </row>
    <row r="78" spans="15:19" x14ac:dyDescent="0.25">
      <c r="O78" t="s">
        <v>7</v>
      </c>
      <c r="P78" t="s">
        <v>35</v>
      </c>
      <c r="Q78" t="s">
        <v>19</v>
      </c>
      <c r="R78">
        <v>4585</v>
      </c>
      <c r="S78">
        <v>240</v>
      </c>
    </row>
    <row r="79" spans="15:19" x14ac:dyDescent="0.25">
      <c r="O79" t="s">
        <v>3</v>
      </c>
      <c r="P79" t="s">
        <v>37</v>
      </c>
      <c r="Q79" t="s">
        <v>29</v>
      </c>
      <c r="R79">
        <v>4592</v>
      </c>
      <c r="S79">
        <v>324</v>
      </c>
    </row>
    <row r="80" spans="15:19" x14ac:dyDescent="0.25">
      <c r="O80" t="s">
        <v>40</v>
      </c>
      <c r="P80" t="s">
        <v>35</v>
      </c>
      <c r="Q80" t="s">
        <v>16</v>
      </c>
      <c r="R80">
        <v>4725</v>
      </c>
      <c r="S80">
        <v>174</v>
      </c>
    </row>
    <row r="81" spans="15:19" x14ac:dyDescent="0.25">
      <c r="O81" t="s">
        <v>8</v>
      </c>
      <c r="P81" t="s">
        <v>35</v>
      </c>
      <c r="Q81" t="s">
        <v>27</v>
      </c>
      <c r="R81">
        <v>4753</v>
      </c>
      <c r="S81">
        <v>300</v>
      </c>
    </row>
    <row r="82" spans="15:19" x14ac:dyDescent="0.25">
      <c r="O82" t="s">
        <v>5</v>
      </c>
      <c r="P82" t="s">
        <v>35</v>
      </c>
      <c r="Q82" t="s">
        <v>31</v>
      </c>
      <c r="R82">
        <v>4753</v>
      </c>
      <c r="S82">
        <v>246</v>
      </c>
    </row>
    <row r="83" spans="15:19" x14ac:dyDescent="0.25">
      <c r="O83" t="s">
        <v>10</v>
      </c>
      <c r="P83" t="s">
        <v>39</v>
      </c>
      <c r="Q83" t="s">
        <v>21</v>
      </c>
      <c r="R83">
        <v>4858</v>
      </c>
      <c r="S83">
        <v>279</v>
      </c>
    </row>
    <row r="84" spans="15:19" x14ac:dyDescent="0.25">
      <c r="O84" t="s">
        <v>6</v>
      </c>
      <c r="P84" t="s">
        <v>37</v>
      </c>
      <c r="Q84" t="s">
        <v>23</v>
      </c>
      <c r="R84">
        <v>4949</v>
      </c>
      <c r="S84">
        <v>189</v>
      </c>
    </row>
    <row r="85" spans="15:19" x14ac:dyDescent="0.25">
      <c r="O85" t="s">
        <v>3</v>
      </c>
      <c r="P85" t="s">
        <v>39</v>
      </c>
      <c r="Q85" t="s">
        <v>26</v>
      </c>
      <c r="R85">
        <v>4956</v>
      </c>
      <c r="S85">
        <v>171</v>
      </c>
    </row>
    <row r="86" spans="15:19" x14ac:dyDescent="0.25">
      <c r="O86" t="s">
        <v>6</v>
      </c>
      <c r="P86" t="s">
        <v>36</v>
      </c>
      <c r="Q86" t="s">
        <v>17</v>
      </c>
      <c r="R86">
        <v>4970</v>
      </c>
      <c r="S86">
        <v>156</v>
      </c>
    </row>
    <row r="87" spans="15:19" x14ac:dyDescent="0.25">
      <c r="O87" t="s">
        <v>8</v>
      </c>
      <c r="P87" t="s">
        <v>35</v>
      </c>
      <c r="Q87" t="s">
        <v>22</v>
      </c>
      <c r="R87">
        <v>5012</v>
      </c>
      <c r="S87">
        <v>210</v>
      </c>
    </row>
    <row r="88" spans="15:19" x14ac:dyDescent="0.25">
      <c r="O88" t="s">
        <v>40</v>
      </c>
      <c r="P88" t="s">
        <v>34</v>
      </c>
      <c r="Q88" t="s">
        <v>17</v>
      </c>
      <c r="R88">
        <v>5019</v>
      </c>
      <c r="S88">
        <v>156</v>
      </c>
    </row>
    <row r="89" spans="15:19" x14ac:dyDescent="0.25">
      <c r="O89" t="s">
        <v>7</v>
      </c>
      <c r="P89" t="s">
        <v>35</v>
      </c>
      <c r="Q89" t="s">
        <v>28</v>
      </c>
      <c r="R89">
        <v>5194</v>
      </c>
      <c r="S89">
        <v>288</v>
      </c>
    </row>
    <row r="90" spans="15:19" x14ac:dyDescent="0.25">
      <c r="O90" t="s">
        <v>10</v>
      </c>
      <c r="P90" t="s">
        <v>34</v>
      </c>
      <c r="Q90" t="s">
        <v>19</v>
      </c>
      <c r="R90">
        <v>5355</v>
      </c>
      <c r="S90">
        <v>204</v>
      </c>
    </row>
    <row r="91" spans="15:19" x14ac:dyDescent="0.25">
      <c r="O91" t="s">
        <v>5</v>
      </c>
      <c r="P91" t="s">
        <v>38</v>
      </c>
      <c r="Q91" t="s">
        <v>19</v>
      </c>
      <c r="R91">
        <v>5474</v>
      </c>
      <c r="S91">
        <v>168</v>
      </c>
    </row>
    <row r="92" spans="15:19" x14ac:dyDescent="0.25">
      <c r="O92" t="s">
        <v>7</v>
      </c>
      <c r="P92" t="s">
        <v>36</v>
      </c>
      <c r="Q92" t="s">
        <v>29</v>
      </c>
      <c r="R92">
        <v>5551</v>
      </c>
      <c r="S92">
        <v>252</v>
      </c>
    </row>
    <row r="93" spans="15:19" x14ac:dyDescent="0.25">
      <c r="O93" t="s">
        <v>10</v>
      </c>
      <c r="P93" t="s">
        <v>38</v>
      </c>
      <c r="Q93" t="s">
        <v>14</v>
      </c>
      <c r="R93">
        <v>5586</v>
      </c>
      <c r="S93">
        <v>525</v>
      </c>
    </row>
    <row r="94" spans="15:19" x14ac:dyDescent="0.25">
      <c r="O94" t="s">
        <v>40</v>
      </c>
      <c r="P94" t="s">
        <v>38</v>
      </c>
      <c r="Q94" t="s">
        <v>13</v>
      </c>
      <c r="R94">
        <v>5670</v>
      </c>
      <c r="S94">
        <v>297</v>
      </c>
    </row>
    <row r="95" spans="15:19" x14ac:dyDescent="0.25">
      <c r="O95" t="s">
        <v>7</v>
      </c>
      <c r="P95" t="s">
        <v>38</v>
      </c>
      <c r="Q95" t="s">
        <v>28</v>
      </c>
      <c r="R95">
        <v>5677</v>
      </c>
      <c r="S95">
        <v>258</v>
      </c>
    </row>
    <row r="96" spans="15:19" x14ac:dyDescent="0.25">
      <c r="O96" t="s">
        <v>41</v>
      </c>
      <c r="P96" t="s">
        <v>36</v>
      </c>
      <c r="Q96" t="s">
        <v>30</v>
      </c>
      <c r="R96">
        <v>6118</v>
      </c>
      <c r="S96">
        <v>174</v>
      </c>
    </row>
    <row r="97" spans="15:19" x14ac:dyDescent="0.25">
      <c r="O97" t="s">
        <v>5</v>
      </c>
      <c r="P97" t="s">
        <v>34</v>
      </c>
      <c r="Q97" t="s">
        <v>22</v>
      </c>
      <c r="R97">
        <v>6279</v>
      </c>
      <c r="S97">
        <v>237</v>
      </c>
    </row>
    <row r="98" spans="15:19" x14ac:dyDescent="0.25">
      <c r="O98" t="s">
        <v>2</v>
      </c>
      <c r="P98" t="s">
        <v>38</v>
      </c>
      <c r="Q98" t="s">
        <v>28</v>
      </c>
      <c r="R98">
        <v>6580</v>
      </c>
      <c r="S98">
        <v>183</v>
      </c>
    </row>
    <row r="99" spans="15:19" x14ac:dyDescent="0.25">
      <c r="O99" t="s">
        <v>7</v>
      </c>
      <c r="P99" t="s">
        <v>37</v>
      </c>
      <c r="Q99" t="s">
        <v>14</v>
      </c>
      <c r="R99">
        <v>6608</v>
      </c>
      <c r="S99">
        <v>225</v>
      </c>
    </row>
    <row r="100" spans="15:19" x14ac:dyDescent="0.25">
      <c r="O100" t="s">
        <v>10</v>
      </c>
      <c r="P100" t="s">
        <v>36</v>
      </c>
      <c r="Q100" t="s">
        <v>32</v>
      </c>
      <c r="R100">
        <v>6657</v>
      </c>
      <c r="S100">
        <v>303</v>
      </c>
    </row>
    <row r="101" spans="15:19" x14ac:dyDescent="0.25">
      <c r="O101" t="s">
        <v>3</v>
      </c>
      <c r="P101" t="s">
        <v>35</v>
      </c>
      <c r="Q101" t="s">
        <v>15</v>
      </c>
      <c r="R101">
        <v>6657</v>
      </c>
      <c r="S101">
        <v>276</v>
      </c>
    </row>
    <row r="102" spans="15:19" x14ac:dyDescent="0.25">
      <c r="O102" t="s">
        <v>8</v>
      </c>
      <c r="P102" t="s">
        <v>35</v>
      </c>
      <c r="Q102" t="s">
        <v>32</v>
      </c>
      <c r="R102">
        <v>6706</v>
      </c>
      <c r="S102">
        <v>459</v>
      </c>
    </row>
    <row r="103" spans="15:19" x14ac:dyDescent="0.25">
      <c r="O103" t="s">
        <v>7</v>
      </c>
      <c r="P103" t="s">
        <v>35</v>
      </c>
      <c r="Q103" t="s">
        <v>30</v>
      </c>
      <c r="R103">
        <v>6755</v>
      </c>
      <c r="S103">
        <v>252</v>
      </c>
    </row>
    <row r="104" spans="15:19" x14ac:dyDescent="0.25">
      <c r="O104" t="s">
        <v>40</v>
      </c>
      <c r="P104" t="s">
        <v>35</v>
      </c>
      <c r="Q104" t="s">
        <v>22</v>
      </c>
      <c r="R104">
        <v>6853</v>
      </c>
      <c r="S104">
        <v>372</v>
      </c>
    </row>
    <row r="105" spans="15:19" x14ac:dyDescent="0.25">
      <c r="O105" t="s">
        <v>8</v>
      </c>
      <c r="P105" t="s">
        <v>39</v>
      </c>
      <c r="Q105" t="s">
        <v>30</v>
      </c>
      <c r="R105">
        <v>7021</v>
      </c>
      <c r="S105">
        <v>183</v>
      </c>
    </row>
    <row r="106" spans="15:19" x14ac:dyDescent="0.25">
      <c r="O106" t="s">
        <v>3</v>
      </c>
      <c r="P106" t="s">
        <v>34</v>
      </c>
      <c r="Q106" t="s">
        <v>14</v>
      </c>
      <c r="R106">
        <v>7259</v>
      </c>
      <c r="S106">
        <v>276</v>
      </c>
    </row>
    <row r="107" spans="15:19" x14ac:dyDescent="0.25">
      <c r="O107" t="s">
        <v>5</v>
      </c>
      <c r="P107" t="s">
        <v>34</v>
      </c>
      <c r="Q107" t="s">
        <v>15</v>
      </c>
      <c r="R107">
        <v>7280</v>
      </c>
      <c r="S107">
        <v>201</v>
      </c>
    </row>
    <row r="108" spans="15:19" x14ac:dyDescent="0.25">
      <c r="O108" t="s">
        <v>3</v>
      </c>
      <c r="P108" t="s">
        <v>37</v>
      </c>
      <c r="Q108" t="s">
        <v>28</v>
      </c>
      <c r="R108">
        <v>7308</v>
      </c>
      <c r="S108">
        <v>327</v>
      </c>
    </row>
    <row r="109" spans="15:19" x14ac:dyDescent="0.25">
      <c r="O109" t="s">
        <v>41</v>
      </c>
      <c r="P109" t="s">
        <v>35</v>
      </c>
      <c r="Q109" t="s">
        <v>28</v>
      </c>
      <c r="R109">
        <v>7455</v>
      </c>
      <c r="S109">
        <v>216</v>
      </c>
    </row>
    <row r="110" spans="15:19" x14ac:dyDescent="0.25">
      <c r="O110" t="s">
        <v>2</v>
      </c>
      <c r="P110" t="s">
        <v>39</v>
      </c>
      <c r="Q110" t="s">
        <v>21</v>
      </c>
      <c r="R110">
        <v>7651</v>
      </c>
      <c r="S110">
        <v>213</v>
      </c>
    </row>
    <row r="111" spans="15:19" x14ac:dyDescent="0.25">
      <c r="O111" t="s">
        <v>3</v>
      </c>
      <c r="P111" t="s">
        <v>34</v>
      </c>
      <c r="Q111" t="s">
        <v>32</v>
      </c>
      <c r="R111">
        <v>7777</v>
      </c>
      <c r="S111">
        <v>504</v>
      </c>
    </row>
    <row r="112" spans="15:19" x14ac:dyDescent="0.25">
      <c r="O112" t="s">
        <v>9</v>
      </c>
      <c r="P112" t="s">
        <v>35</v>
      </c>
      <c r="Q112" t="s">
        <v>15</v>
      </c>
      <c r="R112">
        <v>7833</v>
      </c>
      <c r="S112">
        <v>243</v>
      </c>
    </row>
    <row r="113" spans="15:19" x14ac:dyDescent="0.25">
      <c r="O113" t="s">
        <v>41</v>
      </c>
      <c r="P113" t="s">
        <v>34</v>
      </c>
      <c r="Q113" t="s">
        <v>33</v>
      </c>
      <c r="R113">
        <v>7847</v>
      </c>
      <c r="S113">
        <v>174</v>
      </c>
    </row>
    <row r="114" spans="15:19" x14ac:dyDescent="0.25">
      <c r="O114" t="s">
        <v>6</v>
      </c>
      <c r="P114" t="s">
        <v>34</v>
      </c>
      <c r="Q114" t="s">
        <v>26</v>
      </c>
      <c r="R114">
        <v>8008</v>
      </c>
      <c r="S114">
        <v>456</v>
      </c>
    </row>
    <row r="115" spans="15:19" x14ac:dyDescent="0.25">
      <c r="O115" t="s">
        <v>9</v>
      </c>
      <c r="P115" t="s">
        <v>34</v>
      </c>
      <c r="Q115" t="s">
        <v>20</v>
      </c>
      <c r="R115">
        <v>8463</v>
      </c>
      <c r="S115">
        <v>492</v>
      </c>
    </row>
    <row r="116" spans="15:19" x14ac:dyDescent="0.25">
      <c r="O116" t="s">
        <v>3</v>
      </c>
      <c r="P116" t="s">
        <v>38</v>
      </c>
      <c r="Q116" t="s">
        <v>26</v>
      </c>
      <c r="R116">
        <v>8841</v>
      </c>
      <c r="S116">
        <v>303</v>
      </c>
    </row>
    <row r="117" spans="15:19" x14ac:dyDescent="0.25">
      <c r="O117" t="s">
        <v>7</v>
      </c>
      <c r="P117" t="s">
        <v>34</v>
      </c>
      <c r="Q117" t="s">
        <v>24</v>
      </c>
      <c r="R117">
        <v>8862</v>
      </c>
      <c r="S117">
        <v>189</v>
      </c>
    </row>
    <row r="118" spans="15:19" x14ac:dyDescent="0.25">
      <c r="O118" t="s">
        <v>40</v>
      </c>
      <c r="P118" t="s">
        <v>35</v>
      </c>
      <c r="Q118" t="s">
        <v>33</v>
      </c>
      <c r="R118">
        <v>8869</v>
      </c>
      <c r="S118">
        <v>432</v>
      </c>
    </row>
    <row r="119" spans="15:19" x14ac:dyDescent="0.25">
      <c r="O119" t="s">
        <v>8</v>
      </c>
      <c r="P119" t="s">
        <v>39</v>
      </c>
      <c r="Q119" t="s">
        <v>31</v>
      </c>
      <c r="R119">
        <v>8890</v>
      </c>
      <c r="S119">
        <v>210</v>
      </c>
    </row>
    <row r="120" spans="15:19" x14ac:dyDescent="0.25">
      <c r="O120" t="s">
        <v>2</v>
      </c>
      <c r="P120" t="s">
        <v>39</v>
      </c>
      <c r="Q120" t="s">
        <v>20</v>
      </c>
      <c r="R120">
        <v>9443</v>
      </c>
      <c r="S120">
        <v>162</v>
      </c>
    </row>
    <row r="121" spans="15:19" x14ac:dyDescent="0.25">
      <c r="O121" t="s">
        <v>41</v>
      </c>
      <c r="P121" t="s">
        <v>36</v>
      </c>
      <c r="Q121" t="s">
        <v>18</v>
      </c>
      <c r="R121">
        <v>9632</v>
      </c>
      <c r="S121">
        <v>288</v>
      </c>
    </row>
    <row r="122" spans="15:19" x14ac:dyDescent="0.25">
      <c r="O122" t="s">
        <v>7</v>
      </c>
      <c r="P122" t="s">
        <v>37</v>
      </c>
      <c r="Q122" t="s">
        <v>22</v>
      </c>
      <c r="R122">
        <v>9835</v>
      </c>
      <c r="S122">
        <v>207</v>
      </c>
    </row>
    <row r="123" spans="15:19" x14ac:dyDescent="0.25">
      <c r="O123" t="s">
        <v>2</v>
      </c>
      <c r="P123" t="s">
        <v>37</v>
      </c>
      <c r="Q123" t="s">
        <v>17</v>
      </c>
      <c r="R123">
        <v>9926</v>
      </c>
      <c r="S123">
        <v>201</v>
      </c>
    </row>
    <row r="124" spans="15:19" x14ac:dyDescent="0.25">
      <c r="O124" t="s">
        <v>7</v>
      </c>
      <c r="P124" t="s">
        <v>38</v>
      </c>
      <c r="Q124" t="s">
        <v>30</v>
      </c>
      <c r="R124">
        <v>10129</v>
      </c>
      <c r="S124">
        <v>312</v>
      </c>
    </row>
    <row r="125" spans="15:19" x14ac:dyDescent="0.25">
      <c r="O125" t="s">
        <v>41</v>
      </c>
      <c r="P125" t="s">
        <v>36</v>
      </c>
      <c r="Q125" t="s">
        <v>13</v>
      </c>
      <c r="R125">
        <v>10311</v>
      </c>
      <c r="S125">
        <v>231</v>
      </c>
    </row>
    <row r="126" spans="15:19" x14ac:dyDescent="0.25">
      <c r="O126" t="s">
        <v>9</v>
      </c>
      <c r="P126" t="s">
        <v>36</v>
      </c>
      <c r="Q126" t="s">
        <v>27</v>
      </c>
      <c r="R126">
        <v>11522</v>
      </c>
      <c r="S126">
        <v>204</v>
      </c>
    </row>
    <row r="127" spans="15:19" x14ac:dyDescent="0.25">
      <c r="O127" t="s">
        <v>40</v>
      </c>
      <c r="P127" t="s">
        <v>35</v>
      </c>
      <c r="Q127" t="s">
        <v>32</v>
      </c>
      <c r="R127">
        <v>12348</v>
      </c>
      <c r="S127">
        <v>234</v>
      </c>
    </row>
    <row r="128" spans="15:19" x14ac:dyDescent="0.25">
      <c r="O128" t="s">
        <v>5</v>
      </c>
      <c r="P128" t="s">
        <v>35</v>
      </c>
      <c r="Q128" t="s">
        <v>15</v>
      </c>
      <c r="R128">
        <v>13391</v>
      </c>
      <c r="S128">
        <v>201</v>
      </c>
    </row>
    <row r="129" spans="15:19" x14ac:dyDescent="0.25">
      <c r="O129" t="s">
        <v>5</v>
      </c>
      <c r="P129" t="s">
        <v>34</v>
      </c>
      <c r="Q129" t="s">
        <v>20</v>
      </c>
      <c r="R129">
        <v>15610</v>
      </c>
      <c r="S129">
        <v>339</v>
      </c>
    </row>
  </sheetData>
  <mergeCells count="1">
    <mergeCell ref="B1:Y1"/>
  </mergeCells>
  <phoneticPr fontId="4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3023-5E05-4669-B92E-DA18C911A181}">
  <dimension ref="A1:T21"/>
  <sheetViews>
    <sheetView showGridLines="0" workbookViewId="0">
      <selection sqref="A1:XFD1"/>
    </sheetView>
  </sheetViews>
  <sheetFormatPr defaultRowHeight="15" x14ac:dyDescent="0.25"/>
  <cols>
    <col min="1" max="1" width="2.42578125" customWidth="1"/>
    <col min="2" max="2" width="16" bestFit="1" customWidth="1"/>
    <col min="3" max="3" width="20.140625" customWidth="1"/>
    <col min="4" max="4" width="14.85546875" bestFit="1" customWidth="1"/>
    <col min="7" max="7" width="16.7109375" bestFit="1" customWidth="1"/>
    <col min="9" max="9" width="11.28515625" bestFit="1" customWidth="1"/>
    <col min="13" max="13" width="14.7109375" customWidth="1"/>
    <col min="15" max="15" width="13.85546875" customWidth="1"/>
  </cols>
  <sheetData>
    <row r="1" spans="1:20" s="46" customFormat="1" ht="43.5" customHeight="1" x14ac:dyDescent="0.65">
      <c r="A1" s="21"/>
      <c r="B1" s="46" t="s">
        <v>82</v>
      </c>
    </row>
    <row r="3" spans="1:20" x14ac:dyDescent="0.25">
      <c r="G3" s="47" t="s">
        <v>81</v>
      </c>
      <c r="H3" s="14" t="s">
        <v>38</v>
      </c>
    </row>
    <row r="4" spans="1:20" x14ac:dyDescent="0.25">
      <c r="L4" s="48"/>
      <c r="M4" s="48"/>
      <c r="N4" s="48"/>
      <c r="O4" s="48"/>
      <c r="P4" s="48"/>
      <c r="Q4" s="48"/>
      <c r="R4" s="48"/>
      <c r="S4" s="48"/>
      <c r="T4" s="48"/>
    </row>
    <row r="5" spans="1:20" x14ac:dyDescent="0.25">
      <c r="L5" s="48"/>
      <c r="M5" s="48"/>
      <c r="N5" s="48"/>
      <c r="O5" s="48"/>
      <c r="P5" s="48"/>
      <c r="Q5" s="48"/>
      <c r="R5" s="48"/>
      <c r="S5" s="48"/>
      <c r="T5" s="48"/>
    </row>
    <row r="6" spans="1:20" x14ac:dyDescent="0.25">
      <c r="B6" s="15" t="s">
        <v>80</v>
      </c>
      <c r="C6" s="15"/>
      <c r="G6" s="15" t="s">
        <v>79</v>
      </c>
      <c r="H6" s="15" t="s">
        <v>1</v>
      </c>
      <c r="I6" s="15" t="s">
        <v>43</v>
      </c>
      <c r="J6" s="15"/>
      <c r="L6" s="48"/>
      <c r="M6" s="48" t="str" cm="1">
        <f t="array" ref="M6:M11">_xlfn.UNIQUE(Data[Geography])</f>
        <v>Australia</v>
      </c>
      <c r="N6" s="48"/>
      <c r="O6" s="48" t="str" cm="1">
        <f t="array" ref="O6:O15">_xlfn.UNIQUE(Data[Sales Person])</f>
        <v>Barr Faughny</v>
      </c>
      <c r="P6" s="48"/>
      <c r="Q6" s="48"/>
      <c r="R6" s="48"/>
      <c r="S6" s="48"/>
      <c r="T6" s="48"/>
    </row>
    <row r="7" spans="1:20" x14ac:dyDescent="0.25">
      <c r="L7" s="48"/>
      <c r="M7" s="48" t="str">
        <v>India</v>
      </c>
      <c r="N7" s="48"/>
      <c r="O7" s="48" t="str">
        <v>Ram Mahesh</v>
      </c>
      <c r="P7" s="48"/>
      <c r="Q7" s="48"/>
      <c r="R7" s="48"/>
      <c r="S7" s="48"/>
      <c r="T7" s="48"/>
    </row>
    <row r="8" spans="1:20" x14ac:dyDescent="0.25">
      <c r="B8" t="s">
        <v>55</v>
      </c>
      <c r="C8" s="8">
        <f>SUMIFS(Data[Amount],Data[Geography],H3)</f>
        <v>65884</v>
      </c>
      <c r="G8" t="str" cm="1">
        <f t="array" ref="G8:G17">_xlfn.UNIQUE(Data[Sales Person])</f>
        <v>Barr Faughny</v>
      </c>
      <c r="H8" s="16">
        <f>SUMIFS(Data[Amount],Data[Sales Person],G8,Data[Geography],$H$3 )</f>
        <v>15323</v>
      </c>
      <c r="I8">
        <f>SUMIFS(Data[Units],Data[Sales Person],G8,Data[Geography],$H$3)</f>
        <v>684</v>
      </c>
      <c r="J8">
        <f>IF(H8&gt;12000,1,-1)</f>
        <v>1</v>
      </c>
      <c r="L8" s="48"/>
      <c r="M8" s="48" t="str">
        <v>Canada</v>
      </c>
      <c r="N8" s="48"/>
      <c r="O8" s="48" t="str">
        <v>Curtice Advani</v>
      </c>
      <c r="P8" s="48"/>
      <c r="Q8" s="48"/>
      <c r="R8" s="48"/>
      <c r="S8" s="48"/>
      <c r="T8" s="48"/>
    </row>
    <row r="9" spans="1:20" x14ac:dyDescent="0.25">
      <c r="B9" t="s">
        <v>56</v>
      </c>
      <c r="C9" s="8">
        <f>SUMIFS(Data[cost],Data[Geography],H3)</f>
        <v>38584.349999999991</v>
      </c>
      <c r="G9" t="str">
        <v>Ram Mahesh</v>
      </c>
      <c r="H9" s="16">
        <f>SUMIFS(Data[Amount],Data[Sales Person],G9,Data[Geography],$H$3 )</f>
        <v>5670</v>
      </c>
      <c r="I9">
        <f>SUMIFS(Data[Units],Data[Sales Person],G9,Data[Geography],$H$3)</f>
        <v>297</v>
      </c>
      <c r="J9">
        <f t="shared" ref="J9:J17" si="0">IF(H9&gt;12000,1,-1)</f>
        <v>-1</v>
      </c>
      <c r="L9" s="48"/>
      <c r="M9" s="48" t="str">
        <v>New Zealand</v>
      </c>
      <c r="N9" s="48"/>
      <c r="O9" s="48" t="str">
        <v>Husein Augar</v>
      </c>
      <c r="P9" s="48"/>
      <c r="Q9" s="48"/>
      <c r="R9" s="48"/>
      <c r="S9" s="48"/>
      <c r="T9" s="48"/>
    </row>
    <row r="10" spans="1:20" x14ac:dyDescent="0.25">
      <c r="B10" t="s">
        <v>57</v>
      </c>
      <c r="C10" s="8">
        <f>C8-C9</f>
        <v>27299.650000000009</v>
      </c>
      <c r="G10" t="str">
        <v>Curtice Advani</v>
      </c>
      <c r="H10" s="16">
        <f>SUMIFS(Data[Amount],Data[Sales Person],G10,Data[Geography],$H$3 )</f>
        <v>1134</v>
      </c>
      <c r="I10">
        <f>SUMIFS(Data[Units],Data[Sales Person],G10,Data[Geography],$H$3)</f>
        <v>282</v>
      </c>
      <c r="J10">
        <f t="shared" si="0"/>
        <v>-1</v>
      </c>
      <c r="L10" s="48"/>
      <c r="M10" s="48" t="str">
        <v>USA</v>
      </c>
      <c r="N10" s="48"/>
      <c r="O10" s="48" t="str">
        <v>Gunar Cockshoot</v>
      </c>
      <c r="P10" s="48"/>
      <c r="Q10" s="48"/>
      <c r="R10" s="48"/>
      <c r="S10" s="48"/>
      <c r="T10" s="48"/>
    </row>
    <row r="11" spans="1:20" x14ac:dyDescent="0.25">
      <c r="G11" t="str">
        <v>Husein Augar</v>
      </c>
      <c r="H11" s="16">
        <f>SUMIFS(Data[Amount],Data[Sales Person],G11,Data[Geography],$H$3 )</f>
        <v>0</v>
      </c>
      <c r="I11">
        <f>SUMIFS(Data[Units],Data[Sales Person],G11,Data[Geography],$H$3)</f>
        <v>0</v>
      </c>
      <c r="J11">
        <f t="shared" si="0"/>
        <v>-1</v>
      </c>
      <c r="L11" s="48"/>
      <c r="M11" s="48" t="str">
        <v>UK</v>
      </c>
      <c r="N11" s="48"/>
      <c r="O11" s="48" t="str">
        <v>Gigi Bohling</v>
      </c>
      <c r="P11" s="48"/>
      <c r="Q11" s="48"/>
      <c r="R11" s="48"/>
      <c r="S11" s="48"/>
      <c r="T11" s="48"/>
    </row>
    <row r="12" spans="1:20" x14ac:dyDescent="0.25">
      <c r="G12" t="str">
        <v>Gunar Cockshoot</v>
      </c>
      <c r="H12" s="16">
        <f>SUMIFS(Data[Amount],Data[Sales Person],G12,Data[Geography],$H$3 )</f>
        <v>8841</v>
      </c>
      <c r="I12">
        <f>SUMIFS(Data[Units],Data[Sales Person],G12,Data[Geography],$H$3)</f>
        <v>303</v>
      </c>
      <c r="J12">
        <f t="shared" si="0"/>
        <v>-1</v>
      </c>
      <c r="L12" s="48"/>
      <c r="M12" s="48"/>
      <c r="N12" s="48"/>
      <c r="O12" s="48" t="str">
        <v>Brien Boise</v>
      </c>
      <c r="P12" s="48"/>
      <c r="Q12" s="48"/>
      <c r="R12" s="48"/>
      <c r="S12" s="48"/>
      <c r="T12" s="48"/>
    </row>
    <row r="13" spans="1:20" x14ac:dyDescent="0.25">
      <c r="G13" t="str">
        <v>Gigi Bohling</v>
      </c>
      <c r="H13" s="16">
        <f>SUMIFS(Data[Amount],Data[Sales Person],G13,Data[Geography],$H$3 )</f>
        <v>5474</v>
      </c>
      <c r="I13">
        <f>SUMIFS(Data[Units],Data[Sales Person],G13,Data[Geography],$H$3)</f>
        <v>168</v>
      </c>
      <c r="J13">
        <f t="shared" si="0"/>
        <v>-1</v>
      </c>
      <c r="L13" s="48"/>
      <c r="M13" s="48"/>
      <c r="N13" s="48"/>
      <c r="O13" s="48" t="str">
        <v>Carla Molina</v>
      </c>
      <c r="P13" s="48"/>
      <c r="Q13" s="48"/>
      <c r="R13" s="48"/>
      <c r="S13" s="48"/>
      <c r="T13" s="48"/>
    </row>
    <row r="14" spans="1:20" x14ac:dyDescent="0.25">
      <c r="G14" t="str">
        <v>Brien Boise</v>
      </c>
      <c r="H14" s="16">
        <f>SUMIFS(Data[Amount],Data[Sales Person],G14,Data[Geography],$H$3 )</f>
        <v>6272</v>
      </c>
      <c r="I14">
        <f>SUMIFS(Data[Units],Data[Sales Person],G14,Data[Geography],$H$3)</f>
        <v>957</v>
      </c>
      <c r="J14">
        <f t="shared" si="0"/>
        <v>-1</v>
      </c>
      <c r="L14" s="48"/>
      <c r="M14" s="48"/>
      <c r="N14" s="48"/>
      <c r="O14" s="48" t="str">
        <v>Ches Bonnell</v>
      </c>
      <c r="P14" s="48"/>
      <c r="Q14" s="48"/>
      <c r="R14" s="48"/>
      <c r="S14" s="48"/>
      <c r="T14" s="48"/>
    </row>
    <row r="15" spans="1:20" x14ac:dyDescent="0.25">
      <c r="G15" t="str">
        <v>Carla Molina</v>
      </c>
      <c r="H15" s="16">
        <f>SUMIFS(Data[Amount],Data[Sales Person],G15,Data[Geography],$H$3 )</f>
        <v>0</v>
      </c>
      <c r="I15">
        <f>SUMIFS(Data[Units],Data[Sales Person],G15,Data[Geography],$H$3)</f>
        <v>0</v>
      </c>
      <c r="J15">
        <f t="shared" si="0"/>
        <v>-1</v>
      </c>
      <c r="L15" s="48"/>
      <c r="M15" s="48"/>
      <c r="N15" s="48"/>
      <c r="O15" s="48" t="str">
        <v>Oby Sorrel</v>
      </c>
      <c r="P15" s="48"/>
      <c r="Q15" s="48"/>
      <c r="R15" s="48"/>
      <c r="S15" s="48"/>
      <c r="T15" s="48"/>
    </row>
    <row r="16" spans="1:20" x14ac:dyDescent="0.25">
      <c r="G16" t="str">
        <v>Ches Bonnell</v>
      </c>
      <c r="H16" s="16">
        <f>SUMIFS(Data[Amount],Data[Sales Person],G16,Data[Geography],$H$3 )</f>
        <v>17584</v>
      </c>
      <c r="I16">
        <f>SUMIFS(Data[Units],Data[Sales Person],G16,Data[Geography],$H$3)</f>
        <v>840</v>
      </c>
      <c r="J16">
        <f t="shared" si="0"/>
        <v>1</v>
      </c>
      <c r="L16" s="48"/>
      <c r="M16" s="48"/>
      <c r="N16" s="48"/>
      <c r="O16" s="48"/>
      <c r="P16" s="48"/>
      <c r="Q16" s="48"/>
      <c r="R16" s="48"/>
      <c r="S16" s="48"/>
      <c r="T16" s="48"/>
    </row>
    <row r="17" spans="7:20" x14ac:dyDescent="0.25">
      <c r="G17" t="str">
        <v>Oby Sorrel</v>
      </c>
      <c r="H17" s="16">
        <f>SUMIFS(Data[Amount],Data[Sales Person],G17,Data[Geography],$H$3 )</f>
        <v>5586</v>
      </c>
      <c r="I17">
        <f>SUMIFS(Data[Units],Data[Sales Person],G17,Data[Geography],$H$3)</f>
        <v>525</v>
      </c>
      <c r="J17">
        <f t="shared" si="0"/>
        <v>-1</v>
      </c>
      <c r="L17" s="48"/>
      <c r="M17" s="48"/>
      <c r="N17" s="48"/>
      <c r="O17" s="48"/>
      <c r="P17" s="48"/>
      <c r="Q17" s="48"/>
      <c r="R17" s="48"/>
      <c r="S17" s="48"/>
      <c r="T17" s="48"/>
    </row>
    <row r="18" spans="7:20" x14ac:dyDescent="0.25">
      <c r="L18" s="48"/>
      <c r="M18" s="48"/>
      <c r="N18" s="48"/>
      <c r="O18" s="48"/>
      <c r="P18" s="48"/>
      <c r="Q18" s="48"/>
      <c r="R18" s="48"/>
      <c r="S18" s="48"/>
      <c r="T18" s="48"/>
    </row>
    <row r="19" spans="7:20" x14ac:dyDescent="0.25">
      <c r="L19" s="48"/>
      <c r="M19" s="48"/>
      <c r="N19" s="48"/>
      <c r="O19" s="48"/>
      <c r="P19" s="48"/>
      <c r="Q19" s="48"/>
      <c r="R19" s="48"/>
      <c r="S19" s="48"/>
      <c r="T19" s="48"/>
    </row>
    <row r="20" spans="7:20" x14ac:dyDescent="0.25">
      <c r="L20" s="48"/>
      <c r="M20" s="48"/>
      <c r="N20" s="48"/>
      <c r="O20" s="48"/>
      <c r="P20" s="48"/>
      <c r="Q20" s="48"/>
      <c r="R20" s="48"/>
      <c r="S20" s="48"/>
      <c r="T20" s="48"/>
    </row>
    <row r="21" spans="7:20" x14ac:dyDescent="0.25">
      <c r="L21" s="48"/>
      <c r="M21" s="48"/>
      <c r="N21" s="48"/>
      <c r="O21" s="48"/>
      <c r="P21" s="48"/>
      <c r="Q21" s="48"/>
      <c r="R21" s="48"/>
      <c r="S21" s="48"/>
      <c r="T21" s="48"/>
    </row>
  </sheetData>
  <conditionalFormatting sqref="H8:H17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{821BF62E-D04B-4F8F-A21C-797F968F8107}</x14:id>
        </ext>
      </extLst>
    </cfRule>
  </conditionalFormatting>
  <dataValidations count="1">
    <dataValidation type="list" allowBlank="1" showInputMessage="1" showErrorMessage="1" sqref="H3" xr:uid="{74EEFB3B-AE73-46C4-BD8F-A61D9DD44515}">
      <formula1>$M$6:$M$11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21BF62E-D04B-4F8F-A21C-797F968F810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H8:H17</xm:sqref>
        </x14:conditionalFormatting>
        <x14:conditionalFormatting xmlns:xm="http://schemas.microsoft.com/office/excel/2006/main">
          <x14:cfRule type="iconSet" priority="1" id="{19319CB2-695A-4BC0-8F54-C636F703A2AF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J8:J17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1B21-57AF-4854-AEB7-2AA5330183A3}">
  <dimension ref="A1:M28"/>
  <sheetViews>
    <sheetView showGridLines="0" tabSelected="1" workbookViewId="0">
      <selection activeCell="F19" sqref="F19"/>
    </sheetView>
  </sheetViews>
  <sheetFormatPr defaultRowHeight="15" x14ac:dyDescent="0.25"/>
  <cols>
    <col min="1" max="1" width="1.85546875" customWidth="1"/>
    <col min="2" max="2" width="21.42578125" customWidth="1"/>
    <col min="3" max="4" width="19.28515625" customWidth="1"/>
    <col min="5" max="5" width="9.140625" customWidth="1"/>
    <col min="6" max="6" width="15" style="20" customWidth="1"/>
    <col min="7" max="7" width="21.85546875" bestFit="1" customWidth="1"/>
    <col min="8" max="8" width="7.85546875" bestFit="1" customWidth="1"/>
    <col min="11" max="11" width="10.85546875" customWidth="1"/>
    <col min="13" max="13" width="14.28515625" customWidth="1"/>
  </cols>
  <sheetData>
    <row r="1" spans="1:13" s="46" customFormat="1" ht="43.5" customHeight="1" x14ac:dyDescent="0.65">
      <c r="A1" s="21"/>
      <c r="B1" s="46" t="s">
        <v>83</v>
      </c>
    </row>
    <row r="3" spans="1:13" ht="24" customHeight="1" x14ac:dyDescent="0.25">
      <c r="K3" s="49" t="s">
        <v>38</v>
      </c>
    </row>
    <row r="4" spans="1:13" x14ac:dyDescent="0.25">
      <c r="M4" s="48"/>
    </row>
    <row r="5" spans="1:13" x14ac:dyDescent="0.25">
      <c r="M5" s="48" t="str" cm="1">
        <f t="array" ref="M5:M10">_xlfn.UNIQUE(Data[Geography])</f>
        <v>Australia</v>
      </c>
    </row>
    <row r="6" spans="1:13" x14ac:dyDescent="0.25">
      <c r="G6" s="50" t="s">
        <v>60</v>
      </c>
      <c r="H6" s="50" t="s">
        <v>45</v>
      </c>
      <c r="I6" s="50" t="s">
        <v>54</v>
      </c>
      <c r="J6" s="50" t="s">
        <v>58</v>
      </c>
      <c r="K6" s="50" t="s">
        <v>59</v>
      </c>
      <c r="M6" s="48" t="str">
        <v>India</v>
      </c>
    </row>
    <row r="7" spans="1:13" x14ac:dyDescent="0.25">
      <c r="G7" t="str" cm="1">
        <f t="array" ref="G7:G28">_xlfn.UNIQUE(Data[Product])</f>
        <v>Fruit &amp; Nut Bars</v>
      </c>
      <c r="H7">
        <f>SUMIFS(Data[Amount],Data[Product],G7,Data[Geography],$K$3)</f>
        <v>6118</v>
      </c>
      <c r="I7">
        <f>SUMIFS(Data[cost],Data[Product],G7,Data[Geography],$K$3)</f>
        <v>2511.63</v>
      </c>
      <c r="J7">
        <f>H7-I7</f>
        <v>3606.37</v>
      </c>
      <c r="K7" s="53">
        <f>IFERROR(J7/H7,"0")</f>
        <v>0.58946878064727037</v>
      </c>
      <c r="M7" s="48" t="str">
        <v>Canada</v>
      </c>
    </row>
    <row r="8" spans="1:13" x14ac:dyDescent="0.25">
      <c r="G8" t="str">
        <v>Eclairs</v>
      </c>
      <c r="H8">
        <f>SUMIFS(Data[Amount],Data[Product],G8,Data[Geography],$K$3)</f>
        <v>0</v>
      </c>
      <c r="I8">
        <f>SUMIFS(Data[cost],Data[Product],G8,Data[Geography],$K$3)</f>
        <v>0</v>
      </c>
      <c r="J8">
        <f t="shared" ref="J8:J28" si="0">H8-I8</f>
        <v>0</v>
      </c>
      <c r="K8" s="53" t="str">
        <f t="shared" ref="K8:K28" si="1">IFERROR(J8/H8,"0")</f>
        <v>0</v>
      </c>
      <c r="M8" s="48" t="str">
        <v>New Zealand</v>
      </c>
    </row>
    <row r="9" spans="1:13" x14ac:dyDescent="0.25">
      <c r="G9" t="str">
        <v>White Choc</v>
      </c>
      <c r="H9">
        <f>SUMIFS(Data[Amount],Data[Product],G9,Data[Geography],$K$3)</f>
        <v>0</v>
      </c>
      <c r="I9">
        <f>SUMIFS(Data[cost],Data[Product],G9,Data[Geography],$K$3)</f>
        <v>0</v>
      </c>
      <c r="J9">
        <f t="shared" si="0"/>
        <v>0</v>
      </c>
      <c r="K9" s="53" t="str">
        <f t="shared" si="1"/>
        <v>0</v>
      </c>
      <c r="M9" s="48" t="str">
        <v>USA</v>
      </c>
    </row>
    <row r="10" spans="1:13" x14ac:dyDescent="0.25">
      <c r="G10" t="str">
        <v>Peanut Butter Cubes</v>
      </c>
      <c r="H10">
        <f>SUMIFS(Data[Amount],Data[Product],G10,Data[Geography],$K$3)</f>
        <v>0</v>
      </c>
      <c r="I10">
        <f>SUMIFS(Data[cost],Data[Product],G10,Data[Geography],$K$3)</f>
        <v>0</v>
      </c>
      <c r="J10">
        <f t="shared" si="0"/>
        <v>0</v>
      </c>
      <c r="K10" s="53" t="str">
        <f t="shared" si="1"/>
        <v>0</v>
      </c>
      <c r="M10" s="48" t="str">
        <v>UK</v>
      </c>
    </row>
    <row r="11" spans="1:13" x14ac:dyDescent="0.25">
      <c r="G11" t="str">
        <v>Baker's Choco Chips</v>
      </c>
      <c r="H11">
        <f>SUMIFS(Data[Amount],Data[Product],G11,Data[Geography],$K$3)</f>
        <v>8841</v>
      </c>
      <c r="I11">
        <f>SUMIFS(Data[cost],Data[Product],G11,Data[Geography],$K$3)</f>
        <v>1696.8</v>
      </c>
      <c r="J11">
        <f t="shared" si="0"/>
        <v>7144.2</v>
      </c>
      <c r="K11" s="53">
        <f t="shared" si="1"/>
        <v>0.80807600950118763</v>
      </c>
      <c r="M11" s="48"/>
    </row>
    <row r="12" spans="1:13" x14ac:dyDescent="0.25">
      <c r="G12" t="str">
        <v>Orange Choco</v>
      </c>
      <c r="H12">
        <f>SUMIFS(Data[Amount],Data[Product],G12,Data[Geography],$K$3)</f>
        <v>0</v>
      </c>
      <c r="I12">
        <f>SUMIFS(Data[cost],Data[Product],G12,Data[Geography],$K$3)</f>
        <v>0</v>
      </c>
      <c r="J12">
        <f t="shared" si="0"/>
        <v>0</v>
      </c>
      <c r="K12" s="53" t="str">
        <f t="shared" si="1"/>
        <v>0</v>
      </c>
      <c r="M12" s="48"/>
    </row>
    <row r="13" spans="1:13" x14ac:dyDescent="0.25">
      <c r="G13" t="str">
        <v>99% Dark &amp; Pure</v>
      </c>
      <c r="H13">
        <f>SUMIFS(Data[Amount],Data[Product],G13,Data[Geography],$K$3)</f>
        <v>5474</v>
      </c>
      <c r="I13">
        <f>SUMIFS(Data[cost],Data[Product],G13,Data[Geography],$K$3)</f>
        <v>1283.52</v>
      </c>
      <c r="J13">
        <f t="shared" si="0"/>
        <v>4190.4799999999996</v>
      </c>
      <c r="K13" s="53">
        <f t="shared" si="1"/>
        <v>0.76552429667519173</v>
      </c>
    </row>
    <row r="14" spans="1:13" x14ac:dyDescent="0.25">
      <c r="G14" t="str">
        <v>Caramel Stuffed Bars</v>
      </c>
      <c r="H14">
        <f>SUMIFS(Data[Amount],Data[Product],G14,Data[Geography],$K$3)</f>
        <v>12257</v>
      </c>
      <c r="I14">
        <f>SUMIFS(Data[cost],Data[Product],G14,Data[Geography],$K$3)</f>
        <v>4577.5800000000008</v>
      </c>
      <c r="J14">
        <f t="shared" si="0"/>
        <v>7679.4199999999992</v>
      </c>
      <c r="K14" s="53">
        <f t="shared" si="1"/>
        <v>0.6265334094802969</v>
      </c>
    </row>
    <row r="15" spans="1:13" x14ac:dyDescent="0.25">
      <c r="G15" t="str">
        <v>Manuka Honey Choco</v>
      </c>
      <c r="H15">
        <f>SUMIFS(Data[Amount],Data[Product],G15,Data[Geography],$K$3)</f>
        <v>0</v>
      </c>
      <c r="I15">
        <f>SUMIFS(Data[cost],Data[Product],G15,Data[Geography],$K$3)</f>
        <v>0</v>
      </c>
      <c r="J15">
        <f t="shared" si="0"/>
        <v>0</v>
      </c>
      <c r="K15" s="53" t="str">
        <f t="shared" si="1"/>
        <v>0</v>
      </c>
    </row>
    <row r="16" spans="1:13" x14ac:dyDescent="0.25">
      <c r="G16" t="str">
        <v>Mint Chip Choco</v>
      </c>
      <c r="H16">
        <f>SUMIFS(Data[Amount],Data[Product],G16,Data[Geography],$K$3)</f>
        <v>0</v>
      </c>
      <c r="I16">
        <f>SUMIFS(Data[cost],Data[Product],G16,Data[Geography],$K$3)</f>
        <v>0</v>
      </c>
      <c r="J16">
        <f t="shared" si="0"/>
        <v>0</v>
      </c>
      <c r="K16" s="53" t="str">
        <f t="shared" si="1"/>
        <v>0</v>
      </c>
    </row>
    <row r="17" spans="7:11" x14ac:dyDescent="0.25">
      <c r="G17" t="str">
        <v>85% Dark Bars</v>
      </c>
      <c r="H17">
        <f>SUMIFS(Data[Amount],Data[Product],G17,Data[Geography],$K$3)</f>
        <v>0</v>
      </c>
      <c r="I17">
        <f>SUMIFS(Data[cost],Data[Product],G17,Data[Geography],$K$3)</f>
        <v>0</v>
      </c>
      <c r="J17">
        <f t="shared" si="0"/>
        <v>0</v>
      </c>
      <c r="K17" s="53" t="str">
        <f t="shared" si="1"/>
        <v>0</v>
      </c>
    </row>
    <row r="18" spans="7:11" x14ac:dyDescent="0.25">
      <c r="G18" t="str">
        <v>70% Dark Bites</v>
      </c>
      <c r="H18">
        <f>SUMIFS(Data[Amount],Data[Product],G18,Data[Geography],$K$3)</f>
        <v>10129</v>
      </c>
      <c r="I18">
        <f>SUMIFS(Data[cost],Data[Product],G18,Data[Geography],$K$3)</f>
        <v>4520.88</v>
      </c>
      <c r="J18">
        <f t="shared" si="0"/>
        <v>5608.12</v>
      </c>
      <c r="K18" s="53">
        <f t="shared" si="1"/>
        <v>0.55366966136834828</v>
      </c>
    </row>
    <row r="19" spans="7:11" x14ac:dyDescent="0.25">
      <c r="G19" t="str">
        <v>Organic Choco Syrup</v>
      </c>
      <c r="H19">
        <f>SUMIFS(Data[Amount],Data[Product],G19,Data[Geography],$K$3)</f>
        <v>1134</v>
      </c>
      <c r="I19">
        <f>SUMIFS(Data[cost],Data[Product],G19,Data[Geography],$K$3)</f>
        <v>4717.8599999999997</v>
      </c>
      <c r="J19">
        <f t="shared" si="0"/>
        <v>-3583.8599999999997</v>
      </c>
      <c r="K19" s="53">
        <f t="shared" si="1"/>
        <v>-3.1603703703703703</v>
      </c>
    </row>
    <row r="20" spans="7:11" x14ac:dyDescent="0.25">
      <c r="G20" t="str">
        <v>Drinking Coco</v>
      </c>
      <c r="H20">
        <f>SUMIFS(Data[Amount],Data[Product],G20,Data[Geography],$K$3)</f>
        <v>1778</v>
      </c>
      <c r="I20">
        <f>SUMIFS(Data[cost],Data[Product],G20,Data[Geography],$K$3)</f>
        <v>1746.8999999999999</v>
      </c>
      <c r="J20">
        <f t="shared" si="0"/>
        <v>31.100000000000136</v>
      </c>
      <c r="K20" s="53">
        <f t="shared" si="1"/>
        <v>1.7491563554555757E-2</v>
      </c>
    </row>
    <row r="21" spans="7:11" x14ac:dyDescent="0.25">
      <c r="G21" t="str">
        <v>Raspberry Choco</v>
      </c>
      <c r="H21">
        <f>SUMIFS(Data[Amount],Data[Product],G21,Data[Geography],$K$3)</f>
        <v>0</v>
      </c>
      <c r="I21">
        <f>SUMIFS(Data[cost],Data[Product],G21,Data[Geography],$K$3)</f>
        <v>0</v>
      </c>
      <c r="J21">
        <f t="shared" si="0"/>
        <v>0</v>
      </c>
      <c r="K21" s="53" t="str">
        <f t="shared" si="1"/>
        <v>0</v>
      </c>
    </row>
    <row r="22" spans="7:11" x14ac:dyDescent="0.25">
      <c r="G22" t="str">
        <v>Choco Coated Almonds</v>
      </c>
      <c r="H22">
        <f>SUMIFS(Data[Amount],Data[Product],G22,Data[Geography],$K$3)</f>
        <v>3752</v>
      </c>
      <c r="I22">
        <f>SUMIFS(Data[cost],Data[Product],G22,Data[Geography],$K$3)</f>
        <v>1842.45</v>
      </c>
      <c r="J22">
        <f t="shared" si="0"/>
        <v>1909.55</v>
      </c>
      <c r="K22" s="53">
        <f t="shared" si="1"/>
        <v>0.5089418976545842</v>
      </c>
    </row>
    <row r="23" spans="7:11" x14ac:dyDescent="0.25">
      <c r="G23" t="str">
        <v>After Nines</v>
      </c>
      <c r="H23">
        <f>SUMIFS(Data[Amount],Data[Product],G23,Data[Geography],$K$3)</f>
        <v>0</v>
      </c>
      <c r="I23">
        <f>SUMIFS(Data[cost],Data[Product],G23,Data[Geography],$K$3)</f>
        <v>0</v>
      </c>
      <c r="J23">
        <f t="shared" si="0"/>
        <v>0</v>
      </c>
      <c r="K23" s="53" t="str">
        <f t="shared" si="1"/>
        <v>0</v>
      </c>
    </row>
    <row r="24" spans="7:11" x14ac:dyDescent="0.25">
      <c r="G24" t="str">
        <v>Milk Bars</v>
      </c>
      <c r="H24">
        <f>SUMIFS(Data[Amount],Data[Product],G24,Data[Geography],$K$3)</f>
        <v>6489</v>
      </c>
      <c r="I24">
        <f>SUMIFS(Data[cost],Data[Product],G24,Data[Geography],$K$3)</f>
        <v>7529.31</v>
      </c>
      <c r="J24">
        <f t="shared" si="0"/>
        <v>-1040.3100000000004</v>
      </c>
      <c r="K24" s="53">
        <f t="shared" si="1"/>
        <v>-0.16031900138696262</v>
      </c>
    </row>
    <row r="25" spans="7:11" x14ac:dyDescent="0.25">
      <c r="G25" t="str">
        <v>Almond Choco</v>
      </c>
      <c r="H25">
        <f>SUMIFS(Data[Amount],Data[Product],G25,Data[Geography],$K$3)</f>
        <v>0</v>
      </c>
      <c r="I25">
        <f>SUMIFS(Data[cost],Data[Product],G25,Data[Geography],$K$3)</f>
        <v>0</v>
      </c>
      <c r="J25">
        <f t="shared" si="0"/>
        <v>0</v>
      </c>
      <c r="K25" s="53" t="str">
        <f t="shared" si="1"/>
        <v>0</v>
      </c>
    </row>
    <row r="26" spans="7:11" x14ac:dyDescent="0.25">
      <c r="G26" t="str">
        <v>Smooth Sliky Salty</v>
      </c>
      <c r="H26">
        <f>SUMIFS(Data[Amount],Data[Product],G26,Data[Geography],$K$3)</f>
        <v>4326</v>
      </c>
      <c r="I26">
        <f>SUMIFS(Data[cost],Data[Product],G26,Data[Geography],$K$3)</f>
        <v>2014.92</v>
      </c>
      <c r="J26">
        <f t="shared" si="0"/>
        <v>2311.08</v>
      </c>
      <c r="K26" s="53">
        <f t="shared" si="1"/>
        <v>0.53423023578363382</v>
      </c>
    </row>
    <row r="27" spans="7:11" x14ac:dyDescent="0.25">
      <c r="G27" t="str">
        <v>Spicy Special Slims</v>
      </c>
      <c r="H27">
        <f>SUMIFS(Data[Amount],Data[Product],G27,Data[Geography],$K$3)</f>
        <v>0</v>
      </c>
      <c r="I27">
        <f>SUMIFS(Data[cost],Data[Product],G27,Data[Geography],$K$3)</f>
        <v>0</v>
      </c>
      <c r="J27">
        <f t="shared" si="0"/>
        <v>0</v>
      </c>
      <c r="K27" s="53" t="str">
        <f t="shared" si="1"/>
        <v>0</v>
      </c>
    </row>
    <row r="28" spans="7:11" x14ac:dyDescent="0.25">
      <c r="G28" t="str">
        <v>50% Dark Bites</v>
      </c>
      <c r="H28">
        <f>SUMIFS(Data[Amount],Data[Product],G28,Data[Geography],$K$3)</f>
        <v>5586</v>
      </c>
      <c r="I28">
        <f>SUMIFS(Data[cost],Data[Product],G28,Data[Geography],$K$3)</f>
        <v>6142.5</v>
      </c>
      <c r="J28">
        <f t="shared" si="0"/>
        <v>-556.5</v>
      </c>
      <c r="K28" s="53">
        <f t="shared" si="1"/>
        <v>-9.9624060150375934E-2</v>
      </c>
    </row>
  </sheetData>
  <conditionalFormatting sqref="K7:K28">
    <cfRule type="colorScale" priority="1">
      <colorScale>
        <cfvo type="min"/>
        <cfvo type="max"/>
        <color theme="7" tint="0.39997558519241921"/>
        <color rgb="FFFCFCFF"/>
      </colorScale>
    </cfRule>
  </conditionalFormatting>
  <dataValidations count="2">
    <dataValidation type="list" allowBlank="1" showInputMessage="1" showErrorMessage="1" sqref="K3" xr:uid="{C65247C4-6B00-4F4A-8D50-E78436CB037B}">
      <formula1>$M$5:$M$10</formula1>
    </dataValidation>
    <dataValidation type="list" allowBlank="1" showInputMessage="1" showErrorMessage="1" sqref="M3" xr:uid="{CDB8A382-98D0-48B8-8D14-0368A17BD118}">
      <formula1>$M$5:$M$15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sales analysis with pivot table</vt:lpstr>
      <vt:lpstr>Top 5 products with$ per unit</vt:lpstr>
      <vt:lpstr>Best sales person by country</vt:lpstr>
      <vt:lpstr>Anomaly</vt:lpstr>
      <vt:lpstr>Dynamic country level sales rep</vt:lpstr>
      <vt:lpstr>which products to discontinue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gopi waghmare</cp:lastModifiedBy>
  <dcterms:created xsi:type="dcterms:W3CDTF">2021-03-14T20:21:32Z</dcterms:created>
  <dcterms:modified xsi:type="dcterms:W3CDTF">2025-01-17T04:14:37Z</dcterms:modified>
</cp:coreProperties>
</file>