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-new\CurentHardcodeSingleMachine\"/>
    </mc:Choice>
  </mc:AlternateContent>
  <bookViews>
    <workbookView xWindow="0" yWindow="0" windowWidth="23040" windowHeight="9192" firstSheet="1" activeTab="1"/>
  </bookViews>
  <sheets>
    <sheet name="Changelog" sheetId="3" r:id="rId1"/>
    <sheet name="DataAutofill8H" sheetId="8" r:id="rId2"/>
    <sheet name="DataAutofill12H" sheetId="9" r:id="rId3"/>
    <sheet name="Data" sheetId="4" r:id="rId4"/>
    <sheet name="8H" sheetId="10" r:id="rId5"/>
    <sheet name="12H" sheetId="5" r:id="rId6"/>
    <sheet name="Hodinový výkon 8H" sheetId="11" r:id="rId7"/>
    <sheet name="Hodinový výkon 12H" sheetId="6" r:id="rId8"/>
  </sheets>
  <definedNames>
    <definedName name="ExternéÚdaje_1" localSheetId="2" hidden="1">DataAutofill12H!$B$2:$Q$10</definedName>
    <definedName name="ExternéÚdaje_1" localSheetId="1" hidden="1">DataAutofill8H!$B$2:$Q$10</definedName>
    <definedName name="_xlnm.Print_Area" localSheetId="7">'Hodinový výkon 12H'!$C$2:$K$17</definedName>
    <definedName name="_xlnm.Print_Area" localSheetId="6">'Hodinový výkon 8H'!$C$2:$K$13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6" i="5"/>
  <c r="G6" i="10" l="1"/>
  <c r="I6" i="11" l="1"/>
  <c r="I7" i="11"/>
  <c r="I8" i="11"/>
  <c r="I9" i="11"/>
  <c r="I10" i="11"/>
  <c r="I11" i="11"/>
  <c r="I12" i="11"/>
  <c r="I5" i="11"/>
  <c r="P8" i="10" l="1"/>
  <c r="P9" i="10"/>
  <c r="P10" i="10"/>
  <c r="P11" i="10"/>
  <c r="P12" i="10"/>
  <c r="P13" i="10"/>
  <c r="P6" i="10"/>
  <c r="Q13" i="10"/>
  <c r="D18" i="10" s="1"/>
  <c r="C13" i="10"/>
  <c r="D13" i="10"/>
  <c r="H13" i="10"/>
  <c r="G13" i="10"/>
  <c r="P7" i="10"/>
  <c r="Q7" i="10"/>
  <c r="Q8" i="10"/>
  <c r="Q9" i="10"/>
  <c r="Q10" i="10"/>
  <c r="Q11" i="10"/>
  <c r="Q12" i="10"/>
  <c r="Q6" i="10"/>
  <c r="G8" i="10"/>
  <c r="G9" i="10"/>
  <c r="G10" i="10"/>
  <c r="G11" i="10"/>
  <c r="G12" i="10"/>
  <c r="E6" i="10"/>
  <c r="G7" i="10"/>
  <c r="H7" i="10"/>
  <c r="H8" i="10"/>
  <c r="H9" i="10"/>
  <c r="H10" i="10"/>
  <c r="H11" i="10"/>
  <c r="H12" i="10"/>
  <c r="H6" i="10"/>
  <c r="F6" i="10" s="1"/>
  <c r="C7" i="10"/>
  <c r="C8" i="10"/>
  <c r="C9" i="10"/>
  <c r="C10" i="10"/>
  <c r="C11" i="10"/>
  <c r="C12" i="10"/>
  <c r="C6" i="10"/>
  <c r="D9" i="10"/>
  <c r="D10" i="10"/>
  <c r="D11" i="10"/>
  <c r="D12" i="10"/>
  <c r="D6" i="10"/>
  <c r="D7" i="10"/>
  <c r="D8" i="10"/>
  <c r="B13" i="10"/>
  <c r="C12" i="11" s="1"/>
  <c r="B12" i="10"/>
  <c r="C11" i="11" s="1"/>
  <c r="B11" i="10"/>
  <c r="C10" i="11" s="1"/>
  <c r="B10" i="10"/>
  <c r="C9" i="11" s="1"/>
  <c r="B9" i="10"/>
  <c r="C8" i="11" s="1"/>
  <c r="B8" i="10"/>
  <c r="C7" i="11" s="1"/>
  <c r="B7" i="10"/>
  <c r="C6" i="11" s="1"/>
  <c r="B6" i="10"/>
  <c r="C5" i="11" s="1"/>
  <c r="G3" i="10"/>
  <c r="S12" i="10"/>
  <c r="S13" i="10"/>
  <c r="S10" i="10"/>
  <c r="S7" i="10"/>
  <c r="E9" i="5"/>
  <c r="G8" i="6" s="1"/>
  <c r="D9" i="5"/>
  <c r="F8" i="6" s="1"/>
  <c r="D10" i="11" l="1"/>
  <c r="D9" i="11"/>
  <c r="E7" i="11"/>
  <c r="D11" i="11"/>
  <c r="E6" i="11"/>
  <c r="D8" i="11"/>
  <c r="E10" i="11"/>
  <c r="D7" i="11"/>
  <c r="D6" i="11"/>
  <c r="E11" i="11"/>
  <c r="E12" i="11"/>
  <c r="D5" i="11"/>
  <c r="D12" i="11"/>
  <c r="E5" i="11"/>
  <c r="N6" i="10"/>
  <c r="F5" i="11"/>
  <c r="M6" i="10"/>
  <c r="N9" i="10"/>
  <c r="J13" i="11"/>
  <c r="N13" i="10"/>
  <c r="E8" i="11"/>
  <c r="F9" i="10"/>
  <c r="N12" i="10"/>
  <c r="N11" i="10"/>
  <c r="E8" i="10"/>
  <c r="F10" i="10"/>
  <c r="O10" i="10"/>
  <c r="F12" i="10"/>
  <c r="O9" i="10"/>
  <c r="F8" i="10"/>
  <c r="O8" i="10"/>
  <c r="O6" i="10"/>
  <c r="F13" i="10"/>
  <c r="E7" i="10"/>
  <c r="N8" i="10"/>
  <c r="O13" i="10"/>
  <c r="N7" i="10"/>
  <c r="E13" i="10"/>
  <c r="O12" i="10"/>
  <c r="F11" i="10"/>
  <c r="E12" i="10"/>
  <c r="N10" i="10"/>
  <c r="O11" i="10"/>
  <c r="E11" i="10"/>
  <c r="E10" i="10"/>
  <c r="E9" i="10"/>
  <c r="O7" i="10"/>
  <c r="F7" i="10"/>
  <c r="G5" i="11"/>
  <c r="B18" i="10"/>
  <c r="C18" i="10"/>
  <c r="L6" i="10"/>
  <c r="L16" i="10"/>
  <c r="E9" i="11"/>
  <c r="S9" i="10"/>
  <c r="S11" i="10"/>
  <c r="S8" i="10"/>
  <c r="R6" i="10"/>
  <c r="S6" i="10"/>
  <c r="P16" i="5"/>
  <c r="Q7" i="5" s="1"/>
  <c r="Q16" i="5"/>
  <c r="F13" i="11" l="1"/>
  <c r="G13" i="11"/>
  <c r="G9" i="11"/>
  <c r="M10" i="10"/>
  <c r="R9" i="10"/>
  <c r="M9" i="10"/>
  <c r="F12" i="11"/>
  <c r="M13" i="10"/>
  <c r="F6" i="11"/>
  <c r="M7" i="10"/>
  <c r="R12" i="10"/>
  <c r="M12" i="10"/>
  <c r="F7" i="11"/>
  <c r="M8" i="10"/>
  <c r="F10" i="11"/>
  <c r="M11" i="10"/>
  <c r="L9" i="10"/>
  <c r="F8" i="11"/>
  <c r="R10" i="10"/>
  <c r="F9" i="11"/>
  <c r="R8" i="10"/>
  <c r="L13" i="10"/>
  <c r="F11" i="11"/>
  <c r="L12" i="10"/>
  <c r="R7" i="10"/>
  <c r="R11" i="10"/>
  <c r="R13" i="10"/>
  <c r="L8" i="10"/>
  <c r="L11" i="10"/>
  <c r="L7" i="10"/>
  <c r="L10" i="10"/>
  <c r="G8" i="11"/>
  <c r="G12" i="11"/>
  <c r="G11" i="11"/>
  <c r="G10" i="11"/>
  <c r="G7" i="11"/>
  <c r="G6" i="11"/>
  <c r="Q13" i="5"/>
  <c r="Q12" i="5"/>
  <c r="Q10" i="5"/>
  <c r="Q9" i="5"/>
  <c r="Q6" i="5"/>
  <c r="Q8" i="5"/>
  <c r="Q11" i="5"/>
  <c r="P9" i="5"/>
  <c r="M7" i="5" l="1"/>
  <c r="M8" i="5"/>
  <c r="M9" i="5"/>
  <c r="M11" i="5"/>
  <c r="M13" i="5"/>
  <c r="M14" i="5"/>
  <c r="M15" i="5"/>
  <c r="M16" i="5"/>
  <c r="M17" i="5"/>
  <c r="M6" i="5"/>
  <c r="M12" i="5"/>
  <c r="M10" i="5"/>
  <c r="K14" i="5"/>
  <c r="K15" i="5"/>
  <c r="K16" i="5"/>
  <c r="K17" i="5"/>
  <c r="L17" i="5"/>
  <c r="L16" i="5"/>
  <c r="L15" i="5"/>
  <c r="L14" i="5"/>
  <c r="E8" i="5" l="1"/>
  <c r="G7" i="6" s="1"/>
  <c r="E10" i="5"/>
  <c r="G9" i="6" s="1"/>
  <c r="E11" i="5"/>
  <c r="G10" i="6" s="1"/>
  <c r="E12" i="5"/>
  <c r="G11" i="6" s="1"/>
  <c r="E13" i="5"/>
  <c r="G12" i="6" s="1"/>
  <c r="E14" i="5"/>
  <c r="G13" i="6" s="1"/>
  <c r="E15" i="5"/>
  <c r="G14" i="6" s="1"/>
  <c r="E16" i="5"/>
  <c r="G15" i="6" s="1"/>
  <c r="E17" i="5"/>
  <c r="G16" i="6" s="1"/>
  <c r="E7" i="5"/>
  <c r="G6" i="6" s="1"/>
  <c r="E6" i="5"/>
  <c r="G5" i="6" s="1"/>
  <c r="D22" i="5"/>
  <c r="J17" i="6" s="1"/>
  <c r="C22" i="5"/>
  <c r="G17" i="6" s="1"/>
  <c r="B22" i="5"/>
  <c r="F17" i="6" s="1"/>
  <c r="D14" i="5"/>
  <c r="F13" i="6" s="1"/>
  <c r="D15" i="5"/>
  <c r="F14" i="6" s="1"/>
  <c r="D16" i="5"/>
  <c r="F15" i="6" s="1"/>
  <c r="D17" i="5"/>
  <c r="F16" i="6" s="1"/>
  <c r="B17" i="5"/>
  <c r="C16" i="6" s="1"/>
  <c r="B16" i="5"/>
  <c r="C15" i="6" s="1"/>
  <c r="B15" i="5"/>
  <c r="C14" i="6" s="1"/>
  <c r="B14" i="5"/>
  <c r="C13" i="6" s="1"/>
  <c r="B13" i="5"/>
  <c r="B12" i="5"/>
  <c r="B11" i="5"/>
  <c r="B10" i="5"/>
  <c r="B9" i="5"/>
  <c r="B8" i="5"/>
  <c r="B7" i="5"/>
  <c r="B6" i="5"/>
  <c r="E13" i="6"/>
  <c r="E14" i="6"/>
  <c r="E15" i="6"/>
  <c r="E16" i="6"/>
  <c r="D13" i="5"/>
  <c r="F12" i="6" s="1"/>
  <c r="D12" i="5"/>
  <c r="D11" i="5"/>
  <c r="D10" i="5"/>
  <c r="E8" i="6"/>
  <c r="D8" i="5"/>
  <c r="D7" i="5"/>
  <c r="D6" i="5"/>
  <c r="G3" i="5"/>
  <c r="P6" i="5" l="1"/>
  <c r="F5" i="6"/>
  <c r="L11" i="5"/>
  <c r="E10" i="6"/>
  <c r="C11" i="6"/>
  <c r="P10" i="5"/>
  <c r="F9" i="6"/>
  <c r="P7" i="5"/>
  <c r="F6" i="6"/>
  <c r="L12" i="5"/>
  <c r="E11" i="6"/>
  <c r="C5" i="6"/>
  <c r="L6" i="5"/>
  <c r="E5" i="6"/>
  <c r="C12" i="6"/>
  <c r="L8" i="5"/>
  <c r="E7" i="6"/>
  <c r="C6" i="6"/>
  <c r="C8" i="6"/>
  <c r="L7" i="5"/>
  <c r="E6" i="6"/>
  <c r="P11" i="5"/>
  <c r="F10" i="6"/>
  <c r="P8" i="5"/>
  <c r="F7" i="6"/>
  <c r="L13" i="5"/>
  <c r="E12" i="6"/>
  <c r="C7" i="6"/>
  <c r="L10" i="5"/>
  <c r="E9" i="6"/>
  <c r="C9" i="6"/>
  <c r="C10" i="6"/>
  <c r="P12" i="5"/>
  <c r="F11" i="6"/>
  <c r="J15" i="5"/>
  <c r="J14" i="5"/>
  <c r="L9" i="5"/>
  <c r="J9" i="5"/>
  <c r="P13" i="5"/>
  <c r="J13" i="5"/>
  <c r="J12" i="5"/>
  <c r="J6" i="5"/>
  <c r="J11" i="5"/>
  <c r="J17" i="5"/>
  <c r="J7" i="5"/>
  <c r="J10" i="5"/>
  <c r="J16" i="5"/>
  <c r="J8" i="5"/>
  <c r="K13" i="5"/>
  <c r="K11" i="5"/>
  <c r="K6" i="5"/>
  <c r="K9" i="5"/>
  <c r="K10" i="5"/>
  <c r="K12" i="5"/>
  <c r="K8" i="5"/>
  <c r="K7" i="5"/>
</calcChain>
</file>

<file path=xl/connections.xml><?xml version="1.0" encoding="utf-8"?>
<connections xmlns="http://schemas.openxmlformats.org/spreadsheetml/2006/main">
  <connection id="1" keepAlive="1" interval="10" name="Dotaz – AutoData-FILL" description="Pripojenie k dotazu AutoData-FILL v zošite." type="5" refreshedVersion="6" background="1" refreshOnLoad="1" saveData="1">
    <dbPr connection="Provider=Microsoft.Mashup.OleDb.1;Data Source=$Workbook$;Location=AutoData-FILL;Extended Properties=&quot;&quot;" command="SELECT * FROM [AutoData-FILL]"/>
  </connection>
  <connection id="2" keepAlive="1" interval="10" name="Dotaz – AutoData-PETIG2" description="Pripojenie k dotazu AutoData-PETIG2 v zošite." type="5" refreshedVersion="6" background="1" refreshOnLoad="1" saveData="1">
    <dbPr connection="Provider=Microsoft.Mashup.OleDb.1;Data Source=$Workbook$;Location=AutoData-PETIG2;Extended Properties=&quot;&quot;" command="SELECT * FROM [AutoData-PETIG2]"/>
  </connection>
</connections>
</file>

<file path=xl/sharedStrings.xml><?xml version="1.0" encoding="utf-8"?>
<sst xmlns="http://schemas.openxmlformats.org/spreadsheetml/2006/main" count="247" uniqueCount="154">
  <si>
    <t>norma</t>
  </si>
  <si>
    <t>ok kusy</t>
  </si>
  <si>
    <t>nok kusy</t>
  </si>
  <si>
    <t>cas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</si>
  <si>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</si>
  <si>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</si>
  <si>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</si>
  <si>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</si>
  <si>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</si>
  <si>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</si>
  <si>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</si>
  <si>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</si>
  <si>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</si>
  <si>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</si>
  <si>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</si>
  <si>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</si>
  <si>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</si>
  <si>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</si>
  <si>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</si>
  <si>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</si>
  <si>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</si>
  <si>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</si>
  <si>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</si>
  <si>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</si>
  <si>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</si>
  <si>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</si>
  <si>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</si>
  <si>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</si>
  <si>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norma 6up</t>
  </si>
  <si>
    <t>8H-Poobedná</t>
  </si>
  <si>
    <t>8H-Ranná</t>
  </si>
  <si>
    <t>8H-Nočná</t>
  </si>
  <si>
    <t>12H-Ranná</t>
  </si>
  <si>
    <t>12H-Nočná</t>
  </si>
  <si>
    <t>Stĺpec2</t>
  </si>
  <si>
    <t>Zmena</t>
  </si>
  <si>
    <t>oee/6up</t>
  </si>
  <si>
    <t>total oee</t>
  </si>
  <si>
    <t xml:space="preserve">total shift </t>
  </si>
  <si>
    <t>total ok</t>
  </si>
  <si>
    <t>total nok</t>
  </si>
  <si>
    <t>total oee/6up</t>
  </si>
  <si>
    <t>Dátum</t>
  </si>
  <si>
    <t>Produkt</t>
  </si>
  <si>
    <t>DM1</t>
  </si>
  <si>
    <t>V0.1</t>
  </si>
  <si>
    <t>Alpha Release</t>
  </si>
  <si>
    <t>Planned:</t>
  </si>
  <si>
    <t>Move data into locked/hidden sheet to avoid rewriting</t>
  </si>
  <si>
    <t>Add auto norm depending on profile</t>
  </si>
  <si>
    <t>Add petig profiles</t>
  </si>
  <si>
    <t>Move all data calculations from data to VLOOKUP+tables</t>
  </si>
  <si>
    <t>.6/.8</t>
  </si>
  <si>
    <t>Stĺpec3</t>
  </si>
  <si>
    <t>Stĺpec4</t>
  </si>
  <si>
    <t>Stĺpec5</t>
  </si>
  <si>
    <t>Stĺpec6</t>
  </si>
  <si>
    <t>Stĺpec7</t>
  </si>
  <si>
    <t>Stĺpec8</t>
  </si>
  <si>
    <t>Stĺpec9</t>
  </si>
  <si>
    <t>pozn.</t>
  </si>
  <si>
    <t>V0.2</t>
  </si>
  <si>
    <t>Migration of Data to tables</t>
  </si>
  <si>
    <t>Rewriting all data calculations to more effective way</t>
  </si>
  <si>
    <t>Debugging of time calculation , excel is stupid</t>
  </si>
  <si>
    <t>real data</t>
  </si>
  <si>
    <t>real donwtime</t>
  </si>
  <si>
    <t>Added early calculation of needed downtime</t>
  </si>
  <si>
    <t>Revamp of OEE calculation (not corrent , maybe switch to productivity calc.)</t>
  </si>
  <si>
    <t>(MAYBE) Auto Data Collection from AI screenshotting WebFactory</t>
  </si>
  <si>
    <t>https://stackoverflow.com/questions/7529991/disable-or-lock-mouse-and-keyboard-in-python</t>
  </si>
  <si>
    <t>https://stackoverflow.com/a/54316281</t>
  </si>
  <si>
    <t>(Could be solved by AI WebFactory)</t>
  </si>
  <si>
    <t>(OEE calc could be corrected by stealing info from WebFactory)</t>
  </si>
  <si>
    <t>OpenCV = image screenshot + editting + preparing for AI</t>
  </si>
  <si>
    <t>PyTesseract = Image to Text AI</t>
  </si>
  <si>
    <t>pyautogui = alternative screenshot lib</t>
  </si>
  <si>
    <t>Language = Python</t>
  </si>
  <si>
    <t>threading = multithreading idea (MAYBE , not really needed)</t>
  </si>
  <si>
    <t>pyqt5= gui (if needed)</t>
  </si>
  <si>
    <t>Stĺpec10</t>
  </si>
  <si>
    <t>Stĺpec11</t>
  </si>
  <si>
    <t>Stĺpec12</t>
  </si>
  <si>
    <t>Stĺpec13</t>
  </si>
  <si>
    <t>TimeTable12H</t>
  </si>
  <si>
    <t>TimeTable8H</t>
  </si>
  <si>
    <t>openpyxl = Editing Excel with python</t>
  </si>
  <si>
    <t>pyhook = blocking user input during gathering data</t>
  </si>
  <si>
    <t xml:space="preserve">Clean up UI/UX </t>
  </si>
  <si>
    <t>Process flow:</t>
  </si>
  <si>
    <t>Make a screenshot of fully automatized WebFactory browser sheet</t>
  </si>
  <si>
    <t>Slice to needed params , edit to AI format</t>
  </si>
  <si>
    <t>AI Image to Text</t>
  </si>
  <si>
    <t>Input Data to Excel</t>
  </si>
  <si>
    <t>ctypes = control of programs ,alt. to userblocking (cleaner)</t>
  </si>
  <si>
    <t>Adding calculation of estimated length of "real and fake" downtime</t>
  </si>
  <si>
    <t>webfactory oee</t>
  </si>
  <si>
    <t>V0.3</t>
  </si>
  <si>
    <t>Clean up UI</t>
  </si>
  <si>
    <t>Added 12H Shift Table</t>
  </si>
  <si>
    <t>Added NOK part calc</t>
  </si>
  <si>
    <t>CalcOEE(prod?)/WebFactory OEE prep</t>
  </si>
  <si>
    <t>Downtime + Production calc - added NOK parts into equation</t>
  </si>
  <si>
    <t>calculated productivity</t>
  </si>
  <si>
    <t>Fixed conditional formatting on %%</t>
  </si>
  <si>
    <t>Hodinový výkon - sledovanie</t>
  </si>
  <si>
    <t>Pracovisko:</t>
  </si>
  <si>
    <t>Dátum:</t>
  </si>
  <si>
    <t>Meno+os.číslo:</t>
  </si>
  <si>
    <t>Zmena:</t>
  </si>
  <si>
    <t>čas</t>
  </si>
  <si>
    <t>norma/h</t>
  </si>
  <si>
    <t>OK kusy</t>
  </si>
  <si>
    <t>NOK kusy</t>
  </si>
  <si>
    <t>prestoj</t>
  </si>
  <si>
    <t>Popis prestoja</t>
  </si>
  <si>
    <t>Podpis predák</t>
  </si>
  <si>
    <t>Spolu</t>
  </si>
  <si>
    <t>calculated scrap</t>
  </si>
  <si>
    <t>webfactory scrap</t>
  </si>
  <si>
    <t>Added calculation of scrap</t>
  </si>
  <si>
    <t xml:space="preserve">Autofill - paper form </t>
  </si>
  <si>
    <t>BUGFIX</t>
  </si>
  <si>
    <t>If you start on not first line calcs are wrong</t>
  </si>
  <si>
    <t>TimeFlag</t>
  </si>
  <si>
    <t>TimeSend</t>
  </si>
  <si>
    <t>OEE</t>
  </si>
  <si>
    <t>OK</t>
  </si>
  <si>
    <t>NOK</t>
  </si>
  <si>
    <t>Product</t>
  </si>
  <si>
    <t>Scrap</t>
  </si>
  <si>
    <t>Norm</t>
  </si>
  <si>
    <t>OP1</t>
  </si>
  <si>
    <t>OP2</t>
  </si>
  <si>
    <t>OP3</t>
  </si>
  <si>
    <t>Machine</t>
  </si>
  <si>
    <t>Date 1st time</t>
  </si>
  <si>
    <t>Column9</t>
  </si>
  <si>
    <t>Column14</t>
  </si>
  <si>
    <t>needed downtime (min)</t>
  </si>
  <si>
    <t>productivity/1h</t>
  </si>
  <si>
    <t>Fixed downtime 60min needed calculation</t>
  </si>
  <si>
    <t>First iteration of autofill paper form</t>
  </si>
  <si>
    <t>ok kusy /1h</t>
  </si>
  <si>
    <t>nok kusy /1h</t>
  </si>
  <si>
    <t>popis prestoja</t>
  </si>
  <si>
    <t>V0.4</t>
  </si>
  <si>
    <t>First iteration of excel sheet autofill</t>
  </si>
  <si>
    <t>V0.4.1</t>
  </si>
  <si>
    <t>Fixed productivity calc</t>
  </si>
  <si>
    <t>If you start with 0pcs on first hour all calcs are bad</t>
  </si>
  <si>
    <t>ShiftCheck</t>
  </si>
  <si>
    <t>1</t>
  </si>
  <si>
    <t>07.08.2022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</si>
</sst>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0.0%"/>
    <numFmt numFmtId="166" formatCode="0.0"/>
    <numFmt numFmtId="167" formatCode="0.00000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149">
    <xf numFmtId="0" fontId="0" fillId="0" borderId="0" xfId="0"/>
    <xf numFmtId="0" fontId="0" fillId="0" borderId="0" xfId="0" applyNumberFormat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0" fillId="2" borderId="10" xfId="0" applyFill="1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0" xfId="0" applyNumberFormat="1" applyBorder="1"/>
    <xf numFmtId="165" fontId="0" fillId="0" borderId="8" xfId="0" applyNumberFormat="1" applyBorder="1" applyAlignment="1">
      <alignment horizontal="center" vertical="center"/>
    </xf>
    <xf numFmtId="16" fontId="0" fillId="0" borderId="0" xfId="0" applyNumberFormat="1"/>
    <xf numFmtId="0" fontId="0" fillId="0" borderId="0" xfId="0" applyAlignmen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Border="1"/>
    <xf numFmtId="0" fontId="0" fillId="4" borderId="18" xfId="0" applyFont="1" applyFill="1" applyBorder="1"/>
    <xf numFmtId="0" fontId="0" fillId="4" borderId="19" xfId="0" applyFont="1" applyFill="1" applyBorder="1"/>
    <xf numFmtId="0" fontId="0" fillId="0" borderId="19" xfId="0" applyFont="1" applyBorder="1"/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Font="1" applyBorder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25" xfId="0" applyBorder="1"/>
    <xf numFmtId="0" fontId="3" fillId="0" borderId="0" xfId="2"/>
    <xf numFmtId="0" fontId="5" fillId="0" borderId="26" xfId="2" applyFont="1" applyBorder="1" applyAlignment="1">
      <alignment horizontal="left" vertical="center"/>
    </xf>
    <xf numFmtId="0" fontId="5" fillId="0" borderId="27" xfId="2" applyFont="1" applyBorder="1" applyAlignment="1">
      <alignment vertical="center"/>
    </xf>
    <xf numFmtId="0" fontId="6" fillId="0" borderId="2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5" fillId="0" borderId="29" xfId="2" applyFont="1" applyBorder="1" applyAlignment="1">
      <alignment horizontal="left" vertical="center"/>
    </xf>
    <xf numFmtId="0" fontId="7" fillId="0" borderId="30" xfId="2" applyFont="1" applyBorder="1" applyAlignment="1">
      <alignment horizontal="center" vertical="center" wrapText="1"/>
    </xf>
    <xf numFmtId="0" fontId="7" fillId="0" borderId="31" xfId="2" applyFont="1" applyBorder="1" applyAlignment="1">
      <alignment horizontal="center" vertical="center" wrapText="1"/>
    </xf>
    <xf numFmtId="0" fontId="3" fillId="0" borderId="33" xfId="2" applyBorder="1"/>
    <xf numFmtId="0" fontId="3" fillId="0" borderId="34" xfId="2" applyBorder="1"/>
    <xf numFmtId="0" fontId="9" fillId="0" borderId="30" xfId="2" applyFont="1" applyBorder="1" applyAlignment="1">
      <alignment horizontal="center" vertical="center" wrapText="1"/>
    </xf>
    <xf numFmtId="0" fontId="1" fillId="0" borderId="0" xfId="3"/>
    <xf numFmtId="2" fontId="1" fillId="0" borderId="0" xfId="3" applyNumberFormat="1"/>
    <xf numFmtId="0" fontId="0" fillId="0" borderId="0" xfId="0" applyFill="1" applyBorder="1" applyAlignment="1">
      <alignment horizontal="center" vertical="center"/>
    </xf>
    <xf numFmtId="166" fontId="0" fillId="0" borderId="0" xfId="0" applyNumberFormat="1"/>
    <xf numFmtId="166" fontId="0" fillId="0" borderId="2" xfId="0" applyNumberFormat="1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1" fillId="0" borderId="30" xfId="2" applyFont="1" applyBorder="1" applyAlignment="1">
      <alignment horizontal="center" vertical="center" wrapText="1"/>
    </xf>
    <xf numFmtId="1" fontId="7" fillId="0" borderId="30" xfId="2" applyNumberFormat="1" applyFont="1" applyBorder="1" applyAlignment="1">
      <alignment horizontal="center" vertical="center" wrapText="1"/>
    </xf>
    <xf numFmtId="0" fontId="3" fillId="0" borderId="15" xfId="2" applyBorder="1" applyAlignment="1"/>
    <xf numFmtId="0" fontId="12" fillId="0" borderId="36" xfId="2" applyFont="1" applyBorder="1" applyAlignment="1">
      <alignment horizontal="center" vertical="center"/>
    </xf>
    <xf numFmtId="167" fontId="0" fillId="0" borderId="0" xfId="0" applyNumberFormat="1"/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165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3" fillId="0" borderId="30" xfId="2" applyFont="1" applyBorder="1" applyAlignment="1">
      <alignment horizontal="center" vertical="center" wrapText="1"/>
    </xf>
    <xf numFmtId="0" fontId="0" fillId="2" borderId="4" xfId="0" applyFill="1" applyBorder="1" applyAlignment="1"/>
    <xf numFmtId="0" fontId="0" fillId="0" borderId="0" xfId="0" applyFill="1" applyAlignment="1"/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39" xfId="2" applyFont="1" applyBorder="1" applyAlignment="1">
      <alignment horizontal="center" vertical="center" wrapText="1"/>
    </xf>
    <xf numFmtId="0" fontId="3" fillId="0" borderId="0" xfId="2" applyBorder="1"/>
    <xf numFmtId="165" fontId="14" fillId="0" borderId="15" xfId="2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3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32" xfId="2" applyBorder="1" applyAlignment="1">
      <alignment horizontal="center"/>
    </xf>
    <xf numFmtId="0" fontId="3" fillId="0" borderId="36" xfId="2" applyBorder="1" applyAlignment="1">
      <alignment horizontal="center"/>
    </xf>
    <xf numFmtId="0" fontId="3" fillId="0" borderId="15" xfId="2" applyBorder="1" applyAlignment="1">
      <alignment horizontal="center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4245" y="263055"/>
          <a:ext cx="952499" cy="46941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éÚdaje_1" refreshOnLoad="1" connectionId="1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TimeFlag" tableColumnId="49"/>
      <queryTableField id="2" name="TimeSend" tableColumnId="50"/>
      <queryTableField id="3" name="OEE" tableColumnId="51"/>
      <queryTableField id="4" name="OK" tableColumnId="52"/>
      <queryTableField id="5" name="NOK" tableColumnId="53"/>
      <queryTableField id="6" name="Product" tableColumnId="54"/>
      <queryTableField id="7" name="Scrap" tableColumnId="55"/>
      <queryTableField id="8" name="Norm" tableColumnId="56"/>
      <queryTableField id="9" name="Column9" tableColumnId="57"/>
      <queryTableField id="10" name="OP1" tableColumnId="58"/>
      <queryTableField id="11" name="OP2" tableColumnId="59"/>
      <queryTableField id="12" name="OP3" tableColumnId="60"/>
      <queryTableField id="13" name="Machine" tableColumnId="61"/>
      <queryTableField id="14" name="Column14" tableColumnId="62"/>
      <queryTableField id="15" name="ShiftCheck" tableColumnId="63"/>
      <queryTableField id="16" name="Date 1st time" tableColumnId="64"/>
    </queryTableFields>
  </queryTableRefresh>
</queryTable>
</file>

<file path=xl/queryTables/queryTable2.xml><?xml version="1.0" encoding="utf-8"?>
<queryTable xmlns="http://schemas.openxmlformats.org/spreadsheetml/2006/main" name="ExternéÚdaje_1" refreshOnLoad="1" connectionId="2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TimeFlag" tableColumnId="49"/>
      <queryTableField id="2" name="TimeSend" tableColumnId="50"/>
      <queryTableField id="3" name="OEE" tableColumnId="51"/>
      <queryTableField id="4" name="OK" tableColumnId="52"/>
      <queryTableField id="5" name="NOK" tableColumnId="53"/>
      <queryTableField id="6" name="Product" tableColumnId="54"/>
      <queryTableField id="7" name="Scrap" tableColumnId="55"/>
      <queryTableField id="8" name="Norm" tableColumnId="56"/>
      <queryTableField id="9" name="Column9" tableColumnId="57"/>
      <queryTableField id="10" name="OP1" tableColumnId="58"/>
      <queryTableField id="11" name="OP2" tableColumnId="59"/>
      <queryTableField id="12" name="OP3" tableColumnId="60"/>
      <queryTableField id="13" name="Machine" tableColumnId="61"/>
      <queryTableField id="14" name="Column14" tableColumnId="62"/>
      <queryTableField id="15" name="ShiftCheck" tableColumnId="63"/>
      <queryTableField id="16" name="Date 1st time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AutoData_FILL" displayName="AutoData_FILL" ref="B2:Q10" tableType="queryTable" totalsRowShown="0">
  <autoFilter ref="B2:Q10"/>
  <tableColumns count="16">
    <tableColumn id="49" uniqueName="49" name="TimeFlag" queryTableFieldId="1" dataDxfId="31"/>
    <tableColumn id="50" uniqueName="50" name="TimeSend" queryTableFieldId="2" dataDxfId="30"/>
    <tableColumn id="51" uniqueName="51" name="OEE" queryTableFieldId="3" dataDxfId="29"/>
    <tableColumn id="52" uniqueName="52" name="OK" queryTableFieldId="4" dataDxfId="28"/>
    <tableColumn id="53" uniqueName="53" name="NOK" queryTableFieldId="5" dataDxfId="27"/>
    <tableColumn id="54" uniqueName="54" name="Product" queryTableFieldId="6" dataDxfId="26"/>
    <tableColumn id="55" uniqueName="55" name="Scrap" queryTableFieldId="7" dataDxfId="25"/>
    <tableColumn id="56" uniqueName="56" name="Norm" queryTableFieldId="8" dataDxfId="24"/>
    <tableColumn id="57" uniqueName="57" name="Column9" queryTableFieldId="9" dataDxfId="23"/>
    <tableColumn id="58" uniqueName="58" name="OP1" queryTableFieldId="10" dataDxfId="22"/>
    <tableColumn id="59" uniqueName="59" name="OP2" queryTableFieldId="11" dataDxfId="21"/>
    <tableColumn id="60" uniqueName="60" name="OP3" queryTableFieldId="12" dataDxfId="20"/>
    <tableColumn id="61" uniqueName="61" name="Machine" queryTableFieldId="13" dataDxfId="19"/>
    <tableColumn id="62" uniqueName="62" name="Column14" queryTableFieldId="14" dataDxfId="18"/>
    <tableColumn id="63" uniqueName="63" name="ShiftCheck" queryTableFieldId="15" dataDxfId="17"/>
    <tableColumn id="64" uniqueName="64" name="Date 1st time" queryTableFieldId="16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AutoData_PETIG2" displayName="AutoData_PETIG2" ref="B2:Q10" tableType="queryTable" totalsRowShown="0">
  <autoFilter ref="B2:Q10"/>
  <tableColumns count="16">
    <tableColumn id="49" uniqueName="49" name="TimeFlag" queryTableFieldId="1" dataDxfId="15"/>
    <tableColumn id="50" uniqueName="50" name="TimeSend" queryTableFieldId="2" dataDxfId="14"/>
    <tableColumn id="51" uniqueName="51" name="OEE" queryTableFieldId="3" dataDxfId="13"/>
    <tableColumn id="52" uniqueName="52" name="OK" queryTableFieldId="4" dataDxfId="12"/>
    <tableColumn id="53" uniqueName="53" name="NOK" queryTableFieldId="5" dataDxfId="11"/>
    <tableColumn id="54" uniqueName="54" name="Product" queryTableFieldId="6" dataDxfId="10"/>
    <tableColumn id="55" uniqueName="55" name="Scrap" queryTableFieldId="7" dataDxfId="9"/>
    <tableColumn id="56" uniqueName="56" name="Norm" queryTableFieldId="8" dataDxfId="8"/>
    <tableColumn id="57" uniqueName="57" name="Column9" queryTableFieldId="9" dataDxfId="7"/>
    <tableColumn id="58" uniqueName="58" name="OP1" queryTableFieldId="10" dataDxfId="6"/>
    <tableColumn id="59" uniqueName="59" name="OP2" queryTableFieldId="11" dataDxfId="5"/>
    <tableColumn id="60" uniqueName="60" name="OP3" queryTableFieldId="12" dataDxfId="4"/>
    <tableColumn id="61" uniqueName="61" name="Machine" queryTableFieldId="13" dataDxfId="3"/>
    <tableColumn id="62" uniqueName="62" name="Column14" queryTableFieldId="14" dataDxfId="2"/>
    <tableColumn id="63" uniqueName="63" name="ShiftCheck" queryTableFieldId="15" dataDxfId="1"/>
    <tableColumn id="64" uniqueName="64" name="Date 1st time" queryTableFieldId="1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imeTable12H" displayName="TimeTable12H" ref="B9:N11" totalsRowShown="0" headerRowDxfId="43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42"/>
    <tableColumn id="7" name="Stĺpec7" dataDxfId="41"/>
    <tableColumn id="8" name="Stĺpec8" dataDxfId="40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C21" sqref="C21"/>
    </sheetView>
  </sheetViews>
  <sheetFormatPr defaultRowHeight="14.4" x14ac:dyDescent="0.3"/>
  <cols>
    <col min="2" max="2" width="8.88671875" style="34"/>
    <col min="3" max="3" width="36.21875" customWidth="1"/>
    <col min="6" max="6" width="39" customWidth="1"/>
    <col min="7" max="7" width="17.77734375" customWidth="1"/>
    <col min="9" max="9" width="28.109375" customWidth="1"/>
  </cols>
  <sheetData>
    <row r="2" spans="2:15" x14ac:dyDescent="0.3">
      <c r="B2" s="36" t="s">
        <v>45</v>
      </c>
      <c r="C2" s="37" t="s">
        <v>46</v>
      </c>
      <c r="D2" s="32"/>
      <c r="E2" s="32"/>
      <c r="F2" s="35" t="s">
        <v>47</v>
      </c>
      <c r="I2" t="s">
        <v>89</v>
      </c>
      <c r="J2" t="s">
        <v>74</v>
      </c>
    </row>
    <row r="3" spans="2:15" ht="43.2" x14ac:dyDescent="0.3">
      <c r="B3" s="34" t="s">
        <v>61</v>
      </c>
      <c r="C3" s="33" t="s">
        <v>62</v>
      </c>
      <c r="D3" s="32"/>
      <c r="E3" s="32"/>
      <c r="F3" s="38" t="s">
        <v>48</v>
      </c>
      <c r="H3" s="63" t="s">
        <v>77</v>
      </c>
      <c r="I3" s="63" t="s">
        <v>90</v>
      </c>
      <c r="J3" t="s">
        <v>75</v>
      </c>
    </row>
    <row r="4" spans="2:15" ht="28.8" x14ac:dyDescent="0.3">
      <c r="C4" s="33" t="s">
        <v>63</v>
      </c>
      <c r="D4" s="32"/>
      <c r="E4" s="32"/>
      <c r="F4" s="38" t="s">
        <v>51</v>
      </c>
      <c r="I4" s="63" t="s">
        <v>91</v>
      </c>
      <c r="J4" t="s">
        <v>86</v>
      </c>
    </row>
    <row r="5" spans="2:15" ht="28.8" x14ac:dyDescent="0.3">
      <c r="B5" s="36"/>
      <c r="C5" s="37" t="s">
        <v>67</v>
      </c>
      <c r="D5" s="32"/>
      <c r="E5" s="32"/>
      <c r="F5" s="50" t="s">
        <v>95</v>
      </c>
      <c r="I5" t="s">
        <v>92</v>
      </c>
      <c r="J5" t="s">
        <v>76</v>
      </c>
    </row>
    <row r="6" spans="2:15" x14ac:dyDescent="0.3">
      <c r="B6" s="34" t="s">
        <v>97</v>
      </c>
      <c r="C6" s="32" t="s">
        <v>98</v>
      </c>
      <c r="D6" s="32"/>
      <c r="E6" s="32"/>
      <c r="F6" s="33" t="s">
        <v>88</v>
      </c>
      <c r="I6" t="s">
        <v>93</v>
      </c>
      <c r="J6" t="s">
        <v>94</v>
      </c>
      <c r="O6" t="s">
        <v>71</v>
      </c>
    </row>
    <row r="7" spans="2:15" x14ac:dyDescent="0.3">
      <c r="C7" s="32" t="s">
        <v>99</v>
      </c>
      <c r="D7" s="32"/>
      <c r="E7" s="32"/>
      <c r="F7" s="38" t="s">
        <v>49</v>
      </c>
      <c r="J7" t="s">
        <v>78</v>
      </c>
    </row>
    <row r="8" spans="2:15" x14ac:dyDescent="0.3">
      <c r="C8" s="32" t="s">
        <v>100</v>
      </c>
      <c r="D8" s="32"/>
      <c r="E8" s="32"/>
      <c r="F8" s="33" t="s">
        <v>50</v>
      </c>
      <c r="J8" t="s">
        <v>79</v>
      </c>
    </row>
    <row r="9" spans="2:15" x14ac:dyDescent="0.3">
      <c r="C9" s="32" t="s">
        <v>101</v>
      </c>
      <c r="D9" s="32"/>
      <c r="E9" s="32"/>
      <c r="F9" s="50" t="s">
        <v>121</v>
      </c>
      <c r="J9" t="s">
        <v>87</v>
      </c>
      <c r="N9" t="s">
        <v>70</v>
      </c>
    </row>
    <row r="10" spans="2:15" ht="28.8" x14ac:dyDescent="0.3">
      <c r="C10" s="33" t="s">
        <v>102</v>
      </c>
      <c r="F10" s="64" t="s">
        <v>64</v>
      </c>
      <c r="G10" t="s">
        <v>72</v>
      </c>
    </row>
    <row r="11" spans="2:15" ht="28.8" x14ac:dyDescent="0.3">
      <c r="C11" s="32" t="s">
        <v>104</v>
      </c>
      <c r="F11" s="38" t="s">
        <v>68</v>
      </c>
      <c r="G11" t="s">
        <v>73</v>
      </c>
    </row>
    <row r="12" spans="2:15" ht="28.8" x14ac:dyDescent="0.3">
      <c r="B12" s="36"/>
      <c r="C12" s="119" t="s">
        <v>120</v>
      </c>
      <c r="F12" s="50" t="s">
        <v>69</v>
      </c>
      <c r="H12" s="29"/>
      <c r="I12" s="29"/>
      <c r="J12" s="29"/>
      <c r="K12" s="29"/>
      <c r="L12" s="29"/>
    </row>
    <row r="13" spans="2:15" x14ac:dyDescent="0.3">
      <c r="B13" s="34" t="s">
        <v>146</v>
      </c>
      <c r="C13" s="32" t="s">
        <v>141</v>
      </c>
    </row>
    <row r="14" spans="2:15" x14ac:dyDescent="0.3">
      <c r="C14" s="32" t="s">
        <v>142</v>
      </c>
      <c r="F14" t="s">
        <v>122</v>
      </c>
    </row>
    <row r="15" spans="2:15" x14ac:dyDescent="0.3">
      <c r="B15" s="36"/>
      <c r="C15" s="119" t="s">
        <v>147</v>
      </c>
      <c r="F15" t="s">
        <v>123</v>
      </c>
    </row>
    <row r="16" spans="2:15" x14ac:dyDescent="0.3">
      <c r="B16" s="34" t="s">
        <v>148</v>
      </c>
      <c r="C16" s="89" t="s">
        <v>149</v>
      </c>
      <c r="F16" t="s">
        <v>150</v>
      </c>
    </row>
  </sheetData>
  <sheetProtection algorithmName="SHA-512" hashValue="pP2wKkwsryQ7TmMNL3MISGxPluVLhTAphQj1PaJB2fD8wAr+R4MBQ4PZpONVlW2yEpm34LIZh8bjrlOLUdx0YQ==" saltValue="5AAPwFEb5211qa7fAl10f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tabSelected="1" workbookViewId="0">
      <selection activeCell="B2" sqref="B2:Q10"/>
    </sheetView>
  </sheetViews>
  <sheetFormatPr defaultRowHeight="14.4" x14ac:dyDescent="0.3"/>
  <cols>
    <col min="1" max="1" width="8.88671875" style="87" customWidth="1"/>
    <col min="2" max="2" width="10.6640625" style="88" customWidth="1"/>
    <col min="3" max="3" width="11.5546875" style="88" customWidth="1"/>
    <col min="4" max="4" width="6.5546875" style="88" customWidth="1"/>
    <col min="5" max="5" width="5.6640625" style="88" bestFit="1" customWidth="1"/>
    <col min="6" max="6" width="7" style="88" customWidth="1"/>
    <col min="7" max="7" width="9.88671875" style="87" bestFit="1" customWidth="1"/>
    <col min="8" max="8" width="7.88671875" style="87" customWidth="1"/>
    <col min="9" max="9" width="8" style="87" customWidth="1"/>
    <col min="10" max="10" width="10.77734375" style="87" customWidth="1"/>
    <col min="11" max="13" width="6.6640625" style="87" customWidth="1"/>
    <col min="14" max="14" width="10.5546875" style="87" customWidth="1"/>
    <col min="15" max="15" width="11.77734375" style="87" bestFit="1" customWidth="1"/>
    <col min="16" max="16" width="12.21875" style="87" bestFit="1" customWidth="1"/>
    <col min="17" max="17" width="14.21875" style="87" customWidth="1"/>
    <col min="18" max="18" width="11.77734375" style="87" customWidth="1"/>
    <col min="19" max="19" width="8.88671875" style="87" customWidth="1"/>
    <col min="20" max="16384" width="8.88671875" style="87"/>
  </cols>
  <sheetData>
    <row r="2" spans="2:18" x14ac:dyDescent="0.3">
      <c r="B2" s="1" t="s">
        <v>124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137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138</v>
      </c>
      <c r="P2" s="1" t="s">
        <v>151</v>
      </c>
      <c r="Q2" s="1" t="s">
        <v>136</v>
      </c>
      <c r="R2" s="1"/>
    </row>
    <row r="3" spans="2:18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152</v>
      </c>
      <c r="Q3" s="1" t="s">
        <v>153</v>
      </c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8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8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workbookViewId="0">
      <selection activeCell="B2" sqref="B2:Q10"/>
    </sheetView>
  </sheetViews>
  <sheetFormatPr defaultRowHeight="14.4" x14ac:dyDescent="0.3"/>
  <cols>
    <col min="1" max="1" width="8.88671875" style="87" customWidth="1"/>
    <col min="2" max="2" width="10.6640625" style="88" bestFit="1" customWidth="1"/>
    <col min="3" max="3" width="11.5546875" style="88" bestFit="1" customWidth="1"/>
    <col min="4" max="4" width="6.5546875" style="88" bestFit="1" customWidth="1"/>
    <col min="5" max="5" width="5.6640625" style="88" bestFit="1" customWidth="1"/>
    <col min="6" max="6" width="7" style="88" bestFit="1" customWidth="1"/>
    <col min="7" max="7" width="9.88671875" style="87" bestFit="1" customWidth="1"/>
    <col min="8" max="8" width="7.88671875" style="87" bestFit="1" customWidth="1"/>
    <col min="9" max="9" width="8" style="87" bestFit="1" customWidth="1"/>
    <col min="10" max="10" width="10.77734375" style="87" bestFit="1" customWidth="1"/>
    <col min="11" max="13" width="6.6640625" style="87" bestFit="1" customWidth="1"/>
    <col min="14" max="14" width="10.5546875" style="87" bestFit="1" customWidth="1"/>
    <col min="15" max="15" width="11.77734375" style="87" bestFit="1" customWidth="1"/>
    <col min="16" max="16" width="12.21875" style="87" bestFit="1" customWidth="1"/>
    <col min="17" max="17" width="14.21875" style="87" bestFit="1" customWidth="1"/>
    <col min="18" max="18" width="8.88671875" style="87" customWidth="1"/>
    <col min="19" max="16384" width="8.88671875" style="87"/>
  </cols>
  <sheetData>
    <row r="2" spans="2:17" x14ac:dyDescent="0.3">
      <c r="B2" s="1" t="s">
        <v>124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137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138</v>
      </c>
      <c r="P2" s="1" t="s">
        <v>151</v>
      </c>
      <c r="Q2" s="1" t="s">
        <v>136</v>
      </c>
    </row>
    <row r="3" spans="2:17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152</v>
      </c>
      <c r="Q3" s="1" t="s">
        <v>153</v>
      </c>
    </row>
    <row r="4" spans="2:1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3" sqref="B3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29"/>
      <c r="C2" s="29"/>
      <c r="D2" s="29"/>
      <c r="E2" s="29"/>
      <c r="F2" s="29"/>
      <c r="G2" s="29"/>
      <c r="H2" s="29"/>
      <c r="I2" s="29"/>
      <c r="J2" s="29"/>
    </row>
    <row r="3" spans="2:14" x14ac:dyDescent="0.3">
      <c r="B3" t="s">
        <v>85</v>
      </c>
      <c r="C3" t="s">
        <v>34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</row>
    <row r="4" spans="2:14" x14ac:dyDescent="0.3">
      <c r="B4" t="s">
        <v>30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L4" s="29"/>
      <c r="M4" s="29"/>
      <c r="N4" s="29"/>
    </row>
    <row r="5" spans="2:14" x14ac:dyDescent="0.3">
      <c r="B5" t="s">
        <v>29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</row>
    <row r="6" spans="2:14" x14ac:dyDescent="0.3">
      <c r="B6" t="s">
        <v>31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</row>
    <row r="9" spans="2:14" x14ac:dyDescent="0.3">
      <c r="B9" t="s">
        <v>84</v>
      </c>
      <c r="C9" s="42" t="s">
        <v>34</v>
      </c>
      <c r="D9" s="42" t="s">
        <v>53</v>
      </c>
      <c r="E9" s="42" t="s">
        <v>54</v>
      </c>
      <c r="F9" s="42" t="s">
        <v>55</v>
      </c>
      <c r="G9" s="42" t="s">
        <v>56</v>
      </c>
      <c r="H9" s="42" t="s">
        <v>57</v>
      </c>
      <c r="I9" s="42" t="s">
        <v>58</v>
      </c>
      <c r="J9" s="42" t="s">
        <v>59</v>
      </c>
      <c r="K9" s="42" t="s">
        <v>80</v>
      </c>
      <c r="L9" s="42" t="s">
        <v>81</v>
      </c>
      <c r="M9" s="42" t="s">
        <v>82</v>
      </c>
      <c r="N9" s="42" t="s">
        <v>83</v>
      </c>
    </row>
    <row r="10" spans="2:14" x14ac:dyDescent="0.3">
      <c r="B10" t="s">
        <v>32</v>
      </c>
      <c r="C10" s="41" t="s">
        <v>4</v>
      </c>
      <c r="D10" s="41" t="s">
        <v>5</v>
      </c>
      <c r="E10" s="41" t="s">
        <v>6</v>
      </c>
      <c r="F10" s="41" t="s">
        <v>7</v>
      </c>
      <c r="G10" s="41" t="s">
        <v>8</v>
      </c>
      <c r="H10" s="41" t="s">
        <v>9</v>
      </c>
      <c r="I10" s="41" t="s">
        <v>10</v>
      </c>
      <c r="J10" s="40" t="s">
        <v>11</v>
      </c>
      <c r="K10" s="42" t="s">
        <v>12</v>
      </c>
      <c r="L10" s="42" t="s">
        <v>13</v>
      </c>
      <c r="M10" s="42" t="s">
        <v>14</v>
      </c>
      <c r="N10" s="42" t="s">
        <v>15</v>
      </c>
    </row>
    <row r="11" spans="2:14" x14ac:dyDescent="0.3">
      <c r="B11" t="s">
        <v>33</v>
      </c>
      <c r="C11" s="42" t="s">
        <v>16</v>
      </c>
      <c r="D11" s="42" t="s">
        <v>17</v>
      </c>
      <c r="E11" s="42" t="s">
        <v>18</v>
      </c>
      <c r="F11" s="62" t="s">
        <v>19</v>
      </c>
      <c r="G11" s="41" t="s">
        <v>20</v>
      </c>
      <c r="H11" s="41" t="s">
        <v>21</v>
      </c>
      <c r="I11" s="41" t="s">
        <v>22</v>
      </c>
      <c r="J11" s="41" t="s">
        <v>23</v>
      </c>
      <c r="K11" s="41" t="s">
        <v>24</v>
      </c>
      <c r="L11" s="41" t="s">
        <v>25</v>
      </c>
      <c r="M11" s="41" t="s">
        <v>26</v>
      </c>
      <c r="N11" s="40" t="s">
        <v>27</v>
      </c>
    </row>
  </sheetData>
  <sheetProtection algorithmName="SHA-512" hashValue="vqzIoE7vuPpjff7xj3DmHN2UhQX9HUo7O8ok1gtkE4LQ/8rq2YZhm0p98e5oFw9jCKMoEDY5alDn/6qZiopQxg==" saltValue="lXEw6qDY+WvXM8uICCiSsw==" spinCount="100000" sheet="1" objects="1" scenarios="1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0"/>
  <sheetViews>
    <sheetView zoomScaleNormal="100" workbookViewId="0">
      <selection activeCell="F21" sqref="F21"/>
    </sheetView>
  </sheetViews>
  <sheetFormatPr defaultRowHeight="14.4" x14ac:dyDescent="0.3"/>
  <cols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8.109375" bestFit="1" customWidth="1"/>
    <col min="8" max="10" width="8.109375" customWidth="1"/>
    <col min="11" max="11" width="14.21875" customWidth="1"/>
    <col min="12" max="12" width="14.21875" style="45" customWidth="1"/>
    <col min="13" max="13" width="10.6640625" customWidth="1"/>
    <col min="14" max="14" width="10.77734375" customWidth="1"/>
    <col min="15" max="15" width="9.33203125" bestFit="1" customWidth="1"/>
    <col min="16" max="16" width="11.21875" style="97" bestFit="1" customWidth="1"/>
    <col min="17" max="17" width="10.33203125" style="110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2:25" ht="15" thickBot="1" x14ac:dyDescent="0.35">
      <c r="I2" s="31"/>
      <c r="J2" s="31"/>
      <c r="K2" s="31"/>
    </row>
    <row r="3" spans="2:25" ht="15" thickBot="1" x14ac:dyDescent="0.35">
      <c r="B3" s="2" t="s">
        <v>35</v>
      </c>
      <c r="C3" s="22" t="s">
        <v>31</v>
      </c>
      <c r="F3" s="2" t="s">
        <v>42</v>
      </c>
      <c r="G3" s="26">
        <f ca="1">IF(C3=Data!B6,TODAY()-1,TODAY())</f>
        <v>44780</v>
      </c>
      <c r="H3" s="111"/>
      <c r="I3" s="39"/>
      <c r="J3" s="45"/>
      <c r="L3"/>
      <c r="N3" s="97"/>
      <c r="O3" s="110"/>
      <c r="P3"/>
      <c r="Q3"/>
      <c r="V3" s="127"/>
      <c r="W3" s="127"/>
      <c r="X3" s="127"/>
    </row>
    <row r="4" spans="2:25" ht="15" thickBot="1" x14ac:dyDescent="0.35"/>
    <row r="5" spans="2:25" s="63" customFormat="1" ht="29.4" thickBot="1" x14ac:dyDescent="0.35">
      <c r="B5" s="117" t="s">
        <v>3</v>
      </c>
      <c r="C5" s="65" t="s">
        <v>43</v>
      </c>
      <c r="D5" s="65" t="s">
        <v>0</v>
      </c>
      <c r="E5" s="65" t="s">
        <v>143</v>
      </c>
      <c r="F5" s="65" t="s">
        <v>144</v>
      </c>
      <c r="G5" s="65" t="s">
        <v>39</v>
      </c>
      <c r="H5" s="65" t="s">
        <v>40</v>
      </c>
      <c r="I5" s="65" t="s">
        <v>39</v>
      </c>
      <c r="J5" s="65" t="s">
        <v>40</v>
      </c>
      <c r="K5" s="65" t="s">
        <v>66</v>
      </c>
      <c r="L5" s="49" t="s">
        <v>139</v>
      </c>
      <c r="M5" s="65" t="s">
        <v>140</v>
      </c>
      <c r="N5" s="65" t="s">
        <v>103</v>
      </c>
      <c r="O5" s="65" t="s">
        <v>118</v>
      </c>
      <c r="P5" s="98" t="s">
        <v>119</v>
      </c>
      <c r="Q5" s="98" t="s">
        <v>96</v>
      </c>
      <c r="R5" s="65" t="s">
        <v>36</v>
      </c>
      <c r="S5" s="118" t="s">
        <v>41</v>
      </c>
      <c r="T5" s="116" t="s">
        <v>145</v>
      </c>
      <c r="U5" s="120"/>
      <c r="V5" s="120"/>
      <c r="W5" s="120"/>
      <c r="X5" s="120"/>
      <c r="Y5" s="120"/>
    </row>
    <row r="6" spans="2:25" x14ac:dyDescent="0.3">
      <c r="B6" s="5" t="str">
        <f>VLOOKUP($C$3,TimeTable8H[],2,FALSE)</f>
        <v>22:00-23:00</v>
      </c>
      <c r="C6" s="6" t="str">
        <f>IF(DataAutofill8H!G3&gt;0,DataAutofill8H!G3,"")</f>
        <v/>
      </c>
      <c r="D6" s="6" t="str">
        <f>IF(DataAutofill8H!I3&gt;0,DataAutofill8H!I3,"")</f>
        <v/>
      </c>
      <c r="E6" s="46" t="str">
        <f>G6</f>
        <v/>
      </c>
      <c r="F6" s="46" t="str">
        <f>H6</f>
        <v/>
      </c>
      <c r="G6" s="46" t="str">
        <f>IF(AND(I6=0,DataAutofill8H!E3=0)=TRUE,"",IF(I6=0,DataAutofill8H!E3,I6))</f>
        <v/>
      </c>
      <c r="H6" s="105" t="str">
        <f>IF(AND(J6=0,DataAutofill8H!F3=0)=TRUE,"",IF(J6=0,DataAutofill8H!F3,J6))</f>
        <v/>
      </c>
      <c r="I6" s="54"/>
      <c r="J6" s="43"/>
      <c r="K6" s="8"/>
      <c r="L6" s="73" t="str">
        <f>IF(IFERROR(AND(G6&gt;1,(((E6+F6)-D6)/D6)&lt;0),FALSE),(((E6+F6)-D6)/D6)*-60,"")</f>
        <v/>
      </c>
      <c r="M6" s="9" t="str">
        <f>IFERROR(IF(E6&gt;1,((E6+F6)/D6),""),"")</f>
        <v/>
      </c>
      <c r="N6" s="10" t="str">
        <f>IFERROR(IF(G6&gt;1,(G6/(D6*1)),""),"")</f>
        <v/>
      </c>
      <c r="O6" s="10" t="str">
        <f>IFERROR(IF(AND(G6&gt;1,H6&gt;1),(H6/(H6+G6)),""),"")</f>
        <v/>
      </c>
      <c r="P6" s="10" t="str">
        <f>IF(DataAutofill8H!H3&gt;0,(DataAutofill8H!H3-100)/-100,"")</f>
        <v/>
      </c>
      <c r="Q6" s="69" t="str">
        <f>IF(DataAutofill8H!D3&gt;1,DataAutofill8H!D3/100,"")</f>
        <v/>
      </c>
      <c r="R6" s="66" t="e">
        <f>IF(E6&gt;1,(E6/#REF!),"")</f>
        <v>#VALUE!</v>
      </c>
      <c r="S6" s="11" t="str">
        <f>IF(I6&gt;1,(I6/(#REF!*1)),"")</f>
        <v/>
      </c>
      <c r="T6" s="114"/>
      <c r="U6" s="115"/>
      <c r="V6" s="115"/>
    </row>
    <row r="7" spans="2:25" x14ac:dyDescent="0.3">
      <c r="B7" s="12" t="str">
        <f>VLOOKUP($C$3,TimeTable8H[],3,FALSE)</f>
        <v>23:00-0:00</v>
      </c>
      <c r="C7" s="3" t="str">
        <f>IF(DataAutofill8H!G4&gt;0,DataAutofill8H!G4,"")</f>
        <v/>
      </c>
      <c r="D7" s="3" t="str">
        <f>IF(DataAutofill8H!I4&gt;0,DataAutofill8H!I4,"")</f>
        <v/>
      </c>
      <c r="E7" s="52" t="str">
        <f>IFERROR(IF(AND(G6&gt;1,G7&gt;1)=TRUE,G7-G6,""),"")</f>
        <v/>
      </c>
      <c r="F7" s="52" t="str">
        <f>IFERROR(IF(AND(H6&gt;1,H7&gt;1)=TRUE,H7-H6,""),"")</f>
        <v/>
      </c>
      <c r="G7" s="52" t="str">
        <f>IF(AND(I7=0,DataAutofill8H!E4=0)=TRUE,"",IF(I7=0,DataAutofill8H!E4,I7))</f>
        <v/>
      </c>
      <c r="H7" s="106" t="str">
        <f>IF(AND(J7=0,DataAutofill8H!F4=0)=TRUE,"",IF(J7=0,DataAutofill8H!F4,J7))</f>
        <v/>
      </c>
      <c r="I7" s="55"/>
      <c r="J7" s="44"/>
      <c r="K7" s="14"/>
      <c r="L7" s="74" t="str">
        <f t="shared" ref="L7:L13" si="0">IF(IFERROR(AND(G7&gt;1,(((E7+F7)-D7)/D7)&lt;0),FALSE),(((E7+F7)-D7)/D7)*-60,"")</f>
        <v/>
      </c>
      <c r="M7" s="15" t="str">
        <f t="shared" ref="M7:M13" si="1">IFERROR(IF(E7&gt;1,((E7+F7)/D7),""),"")</f>
        <v/>
      </c>
      <c r="N7" s="16" t="str">
        <f>IFERROR(IF(G7&gt;1,(G7/(D7*2)),""),"")</f>
        <v/>
      </c>
      <c r="O7" s="16" t="str">
        <f t="shared" ref="O7:O13" si="2">IFERROR(IF(AND(G7&gt;1,H7&gt;1),(H7/(H7+G7)),""),"")</f>
        <v/>
      </c>
      <c r="P7" s="108" t="str">
        <f>IF(DataAutofill8H!H4&gt;0,(DataAutofill8H!H4-100)/-100,"")</f>
        <v/>
      </c>
      <c r="Q7" s="70" t="str">
        <f>IF(DataAutofill8H!D4&gt;1,DataAutofill8H!D4/100,"")</f>
        <v/>
      </c>
      <c r="R7" s="67" t="e">
        <f>IF(E7&gt;1,(E7/#REF!),"")</f>
        <v>#VALUE!</v>
      </c>
      <c r="S7" s="17" t="str">
        <f>IF(I7&gt;1,(I7/(#REF!*2)),"")</f>
        <v/>
      </c>
      <c r="T7" s="114"/>
      <c r="U7" s="115"/>
      <c r="V7" s="115"/>
    </row>
    <row r="8" spans="2:25" ht="15" customHeight="1" x14ac:dyDescent="0.3">
      <c r="B8" s="12" t="str">
        <f>VLOOKUP($C$3,TimeTable8H[],4,FALSE)</f>
        <v>0:00-1:00</v>
      </c>
      <c r="C8" s="3" t="str">
        <f>IF(DataAutofill8H!G5&gt;0,DataAutofill8H!G5,"")</f>
        <v/>
      </c>
      <c r="D8" s="3" t="str">
        <f>IF(DataAutofill8H!I5&gt;0,DataAutofill8H!I5,"")</f>
        <v/>
      </c>
      <c r="E8" s="52" t="str">
        <f>IFERROR(IF(AND(G7&gt;1,G8&gt;1)=TRUE,G8-G7,""),"")</f>
        <v/>
      </c>
      <c r="F8" s="52" t="str">
        <f>IFERROR(IF(AND(H7&gt;1,H8&gt;1)=TRUE,H8-H7,""),"")</f>
        <v/>
      </c>
      <c r="G8" s="52" t="str">
        <f>IF(AND(I8=0,DataAutofill8H!E5=0)=TRUE,"",IF(I8=0,DataAutofill8H!E5,I8))</f>
        <v/>
      </c>
      <c r="H8" s="106" t="str">
        <f>IF(AND(J8=0,DataAutofill8H!F5=0)=TRUE,"",IF(J8=0,DataAutofill8H!F5,J8))</f>
        <v/>
      </c>
      <c r="I8" s="55"/>
      <c r="J8" s="44"/>
      <c r="K8" s="14"/>
      <c r="L8" s="74" t="str">
        <f t="shared" si="0"/>
        <v/>
      </c>
      <c r="M8" s="15" t="str">
        <f t="shared" si="1"/>
        <v/>
      </c>
      <c r="N8" s="16" t="str">
        <f>IFERROR(IF(G8&gt;1,(G8/(D8*3)),""),"")</f>
        <v/>
      </c>
      <c r="O8" s="16" t="str">
        <f t="shared" si="2"/>
        <v/>
      </c>
      <c r="P8" s="108" t="str">
        <f>IF(DataAutofill8H!H5&gt;0,(DataAutofill8H!H5-100)/-100,"")</f>
        <v/>
      </c>
      <c r="Q8" s="70" t="str">
        <f>IF(DataAutofill8H!D5&gt;1,DataAutofill8H!D5/100,"")</f>
        <v/>
      </c>
      <c r="R8" s="67" t="e">
        <f>IF(E8&gt;1,(E8/#REF!),"")</f>
        <v>#VALUE!</v>
      </c>
      <c r="S8" s="17" t="str">
        <f>IF(I8&gt;1,(I8/(#REF!*3)),"")</f>
        <v/>
      </c>
      <c r="T8" s="114"/>
      <c r="U8" s="115"/>
      <c r="V8" s="115"/>
    </row>
    <row r="9" spans="2:25" x14ac:dyDescent="0.3">
      <c r="B9" s="12" t="str">
        <f>VLOOKUP($C$3,TimeTable8H[],5,FALSE)</f>
        <v>1:00-2:00</v>
      </c>
      <c r="C9" s="3" t="str">
        <f>IF(DataAutofill8H!G6&gt;0,DataAutofill8H!G6,"")</f>
        <v/>
      </c>
      <c r="D9" s="3" t="str">
        <f>IF(DataAutofill8H!I6&gt;0,DataAutofill8H!I6,"")</f>
        <v/>
      </c>
      <c r="E9" s="52" t="str">
        <f t="shared" ref="E9:E13" si="3">IFERROR(IF(AND(G8&gt;1,G9&gt;1)=TRUE,G9-G8,""),"")</f>
        <v/>
      </c>
      <c r="F9" s="52" t="str">
        <f t="shared" ref="F9:F13" si="4">IFERROR(IF(AND(H8&gt;1,H9&gt;1)=TRUE,H9-H8,""),"")</f>
        <v/>
      </c>
      <c r="G9" s="52" t="str">
        <f>IF(AND(I9=0,DataAutofill8H!E6=0)=TRUE,"",IF(I9=0,DataAutofill8H!E6,I9))</f>
        <v/>
      </c>
      <c r="H9" s="106" t="str">
        <f>IF(AND(J9=0,DataAutofill8H!F6=0)=TRUE,"",IF(J9=0,DataAutofill8H!F6,J9))</f>
        <v/>
      </c>
      <c r="I9" s="55"/>
      <c r="J9" s="44"/>
      <c r="K9" s="14"/>
      <c r="L9" s="74" t="str">
        <f t="shared" si="0"/>
        <v/>
      </c>
      <c r="M9" s="15" t="str">
        <f t="shared" si="1"/>
        <v/>
      </c>
      <c r="N9" s="16" t="str">
        <f>IFERROR(IF(G9&gt;1,(G9/(D9*4)),""),"")</f>
        <v/>
      </c>
      <c r="O9" s="16" t="str">
        <f t="shared" si="2"/>
        <v/>
      </c>
      <c r="P9" s="108" t="str">
        <f>IF(DataAutofill8H!H6&gt;0,(DataAutofill8H!H6-100)/-100,"")</f>
        <v/>
      </c>
      <c r="Q9" s="70" t="str">
        <f>IF(DataAutofill8H!D6&gt;1,DataAutofill8H!D6/100,"")</f>
        <v/>
      </c>
      <c r="R9" s="67" t="e">
        <f>IF(E9&gt;1,(E9/#REF!),"")</f>
        <v>#VALUE!</v>
      </c>
      <c r="S9" s="17" t="str">
        <f>IF(I9&gt;1,(I9/(#REF!*4)),"")</f>
        <v/>
      </c>
      <c r="T9" s="114"/>
      <c r="U9" s="115"/>
      <c r="V9" s="115"/>
    </row>
    <row r="10" spans="2:25" x14ac:dyDescent="0.3">
      <c r="B10" s="12" t="str">
        <f>VLOOKUP($C$3,TimeTable8H[],6,FALSE)</f>
        <v>2:00-3:00</v>
      </c>
      <c r="C10" s="3" t="str">
        <f>IF(DataAutofill8H!G7&gt;0,DataAutofill8H!G7,"")</f>
        <v/>
      </c>
      <c r="D10" s="3" t="str">
        <f>IF(DataAutofill8H!I7&gt;0,DataAutofill8H!I7,"")</f>
        <v/>
      </c>
      <c r="E10" s="52" t="str">
        <f t="shared" si="3"/>
        <v/>
      </c>
      <c r="F10" s="52" t="str">
        <f t="shared" si="4"/>
        <v/>
      </c>
      <c r="G10" s="52" t="str">
        <f>IF(AND(I10=0,DataAutofill8H!E7=0)=TRUE,"",IF(I10=0,DataAutofill8H!E7,I10))</f>
        <v/>
      </c>
      <c r="H10" s="106" t="str">
        <f>IF(AND(J10=0,DataAutofill8H!F7=0)=TRUE,"",IF(J10=0,DataAutofill8H!F7,J10))</f>
        <v/>
      </c>
      <c r="I10" s="55"/>
      <c r="J10" s="44"/>
      <c r="K10" s="14"/>
      <c r="L10" s="74" t="str">
        <f t="shared" si="0"/>
        <v/>
      </c>
      <c r="M10" s="15" t="str">
        <f t="shared" si="1"/>
        <v/>
      </c>
      <c r="N10" s="16" t="str">
        <f>IFERROR(IF(G10&gt;1,(G10/(D10*5)),""),"")</f>
        <v/>
      </c>
      <c r="O10" s="16" t="str">
        <f t="shared" si="2"/>
        <v/>
      </c>
      <c r="P10" s="108" t="str">
        <f>IF(DataAutofill8H!H7&gt;0,(DataAutofill8H!H7-100)/-100,"")</f>
        <v/>
      </c>
      <c r="Q10" s="70" t="str">
        <f>IF(DataAutofill8H!D7&gt;1,DataAutofill8H!D7/100,"")</f>
        <v/>
      </c>
      <c r="R10" s="67" t="e">
        <f>IF(E10&gt;1,(E10/#REF!),"")</f>
        <v>#VALUE!</v>
      </c>
      <c r="S10" s="17" t="str">
        <f>IF(I10&gt;1,(I10/(#REF!*5)),"")</f>
        <v/>
      </c>
      <c r="T10" s="114"/>
      <c r="U10" s="115"/>
      <c r="V10" s="115"/>
    </row>
    <row r="11" spans="2:25" x14ac:dyDescent="0.3">
      <c r="B11" s="71" t="str">
        <f>VLOOKUP($C$3,TimeTable8H[],7,FALSE)</f>
        <v>3:00-4:00</v>
      </c>
      <c r="C11" s="3" t="str">
        <f>IF(DataAutofill8H!G8&gt;0,DataAutofill8H!G8,"")</f>
        <v/>
      </c>
      <c r="D11" s="3" t="str">
        <f>IF(DataAutofill8H!I8&gt;0,DataAutofill8H!I8,"")</f>
        <v/>
      </c>
      <c r="E11" s="52" t="str">
        <f t="shared" si="3"/>
        <v/>
      </c>
      <c r="F11" s="52" t="str">
        <f t="shared" si="4"/>
        <v/>
      </c>
      <c r="G11" s="52" t="str">
        <f>IF(AND(I11=0,DataAutofill8H!E8=0)=TRUE,"",IF(I11=0,DataAutofill8H!E8,I11))</f>
        <v/>
      </c>
      <c r="H11" s="106" t="str">
        <f>IF(AND(J11=0,DataAutofill8H!F8=0)=TRUE,"",IF(J11=0,DataAutofill8H!F8,J11))</f>
        <v/>
      </c>
      <c r="I11" s="55"/>
      <c r="J11" s="44"/>
      <c r="K11" s="14"/>
      <c r="L11" s="74" t="str">
        <f t="shared" si="0"/>
        <v/>
      </c>
      <c r="M11" s="15" t="str">
        <f t="shared" si="1"/>
        <v/>
      </c>
      <c r="N11" s="16" t="str">
        <f>IFERROR(IF(G11&gt;1,(G11/(D11*6)),""),"")</f>
        <v/>
      </c>
      <c r="O11" s="16" t="str">
        <f t="shared" si="2"/>
        <v/>
      </c>
      <c r="P11" s="108" t="str">
        <f>IF(DataAutofill8H!H8&gt;0,(DataAutofill8H!H8-100)/-100,"")</f>
        <v/>
      </c>
      <c r="Q11" s="70" t="str">
        <f>IF(DataAutofill8H!D8&gt;1,DataAutofill8H!D8/100,"")</f>
        <v/>
      </c>
      <c r="R11" s="67" t="e">
        <f>IF(E11&gt;1,(E11/#REF!),"")</f>
        <v>#VALUE!</v>
      </c>
      <c r="S11" s="17" t="str">
        <f>IF(I11&gt;1,(I11/(#REF!*6)),"")</f>
        <v/>
      </c>
      <c r="T11" s="114"/>
      <c r="U11" s="115"/>
      <c r="V11" s="115"/>
    </row>
    <row r="12" spans="2:25" x14ac:dyDescent="0.3">
      <c r="B12" s="71" t="str">
        <f>VLOOKUP($C$3,TimeTable8H[],8,FALSE)</f>
        <v>4:00-5:00</v>
      </c>
      <c r="C12" s="3" t="str">
        <f>IF(DataAutofill8H!G9&gt;0,DataAutofill8H!G9,"")</f>
        <v/>
      </c>
      <c r="D12" s="3" t="str">
        <f>IF(DataAutofill8H!I9&gt;0,DataAutofill8H!I9,"")</f>
        <v/>
      </c>
      <c r="E12" s="52" t="str">
        <f t="shared" si="3"/>
        <v/>
      </c>
      <c r="F12" s="52" t="str">
        <f t="shared" si="4"/>
        <v/>
      </c>
      <c r="G12" s="52" t="str">
        <f>IF(AND(I12=0,DataAutofill8H!E9=0)=TRUE,"",IF(I12=0,DataAutofill8H!E9,I12))</f>
        <v/>
      </c>
      <c r="H12" s="106" t="str">
        <f>IF(AND(J12=0,DataAutofill8H!F9=0)=TRUE,"",IF(J12=0,DataAutofill8H!F9,J12))</f>
        <v/>
      </c>
      <c r="I12" s="55"/>
      <c r="J12" s="44"/>
      <c r="K12" s="14"/>
      <c r="L12" s="74" t="str">
        <f t="shared" si="0"/>
        <v/>
      </c>
      <c r="M12" s="15" t="str">
        <f t="shared" si="1"/>
        <v/>
      </c>
      <c r="N12" s="16" t="str">
        <f>IFERROR(IF(G12&gt;1,(G12/(D12*7)),""),"")</f>
        <v/>
      </c>
      <c r="O12" s="16" t="str">
        <f t="shared" si="2"/>
        <v/>
      </c>
      <c r="P12" s="16" t="str">
        <f>IF(DataAutofill8H!H9&gt;0,(DataAutofill8H!H9-100)/-100,"")</f>
        <v/>
      </c>
      <c r="Q12" s="70" t="str">
        <f>IF(DataAutofill8H!D9&gt;1,DataAutofill8H!D9/100,"")</f>
        <v/>
      </c>
      <c r="R12" s="67" t="e">
        <f>IF(E12&gt;1,(E12/#REF!),"")</f>
        <v>#VALUE!</v>
      </c>
      <c r="S12" s="17" t="str">
        <f>IF(I12&gt;1,(I12/(#REF!*7)),"")</f>
        <v/>
      </c>
      <c r="T12" s="114"/>
      <c r="U12" s="115"/>
      <c r="V12" s="115"/>
    </row>
    <row r="13" spans="2:25" ht="15" thickBot="1" x14ac:dyDescent="0.35">
      <c r="B13" s="109" t="str">
        <f>VLOOKUP($C$3,TimeTable8H[],9,FALSE)</f>
        <v>5:00-6:00</v>
      </c>
      <c r="C13" s="4" t="str">
        <f>IF(DataAutofill8H!G10&gt;0,DataAutofill8H!G10,"")</f>
        <v/>
      </c>
      <c r="D13" s="4" t="str">
        <f>IF(DataAutofill8H!I10&gt;0,DataAutofill8H!I10,"")</f>
        <v/>
      </c>
      <c r="E13" s="53" t="str">
        <f t="shared" si="3"/>
        <v/>
      </c>
      <c r="F13" s="53" t="str">
        <f t="shared" si="4"/>
        <v/>
      </c>
      <c r="G13" s="53" t="str">
        <f>IF(AND(I13=0,DataAutofill8H!E10=0)=TRUE,"",IF(I13=0,DataAutofill8H!E10,I13))</f>
        <v/>
      </c>
      <c r="H13" s="107" t="str">
        <f>IF(AND(J13=0,DataAutofill8H!F10=0)=TRUE,"",IF(J13=0,DataAutofill8H!F10,J13))</f>
        <v/>
      </c>
      <c r="I13" s="56"/>
      <c r="J13" s="56"/>
      <c r="K13" s="19"/>
      <c r="L13" s="48" t="str">
        <f t="shared" si="0"/>
        <v/>
      </c>
      <c r="M13" s="20" t="str">
        <f t="shared" si="1"/>
        <v/>
      </c>
      <c r="N13" s="21" t="str">
        <f>IFERROR(IF(G13&gt;1,(G13/(D13*8)),""),"")</f>
        <v/>
      </c>
      <c r="O13" s="21" t="str">
        <f t="shared" si="2"/>
        <v/>
      </c>
      <c r="P13" s="21" t="str">
        <f>IF(DataAutofill8H!H10&gt;0,(DataAutofill8H!H10-100)/-100,"")</f>
        <v/>
      </c>
      <c r="Q13" s="72" t="str">
        <f>IF(DataAutofill8H!D10&gt;1,DataAutofill8H!D10/100,"")</f>
        <v/>
      </c>
      <c r="R13" s="68" t="e">
        <f>IF(E13&gt;1,(E13/#REF!),"")</f>
        <v>#VALUE!</v>
      </c>
      <c r="S13" s="27" t="str">
        <f>IF(I13&gt;1,(I13/(#REF!*8)),"")</f>
        <v/>
      </c>
      <c r="T13" s="114"/>
      <c r="U13" s="115"/>
      <c r="V13" s="115"/>
    </row>
    <row r="15" spans="2:25" ht="15" thickBot="1" x14ac:dyDescent="0.35">
      <c r="E15" s="111"/>
      <c r="O15" s="95"/>
    </row>
    <row r="16" spans="2:25" x14ac:dyDescent="0.3">
      <c r="B16" s="124" t="s">
        <v>38</v>
      </c>
      <c r="C16" s="125"/>
      <c r="D16" s="126"/>
      <c r="E16" s="112"/>
      <c r="F16" s="111"/>
      <c r="L16" s="104" t="str">
        <f>IF(AND(I12&gt;1,H12&gt;1),(H12/(H12+I12)),"")</f>
        <v/>
      </c>
      <c r="O16" s="95"/>
      <c r="R16" s="30"/>
    </row>
    <row r="17" spans="2:15" x14ac:dyDescent="0.3">
      <c r="B17" s="23" t="s">
        <v>39</v>
      </c>
      <c r="C17" s="24" t="s">
        <v>40</v>
      </c>
      <c r="D17" s="25" t="s">
        <v>37</v>
      </c>
      <c r="O17" s="95"/>
    </row>
    <row r="18" spans="2:15" ht="15" thickBot="1" x14ac:dyDescent="0.35">
      <c r="B18" s="57" t="str">
        <f>IF(G13&gt;1,G13,"")</f>
        <v/>
      </c>
      <c r="C18" s="58" t="str">
        <f>IF(H13&gt;1,H13,"")</f>
        <v/>
      </c>
      <c r="D18" s="27" t="str">
        <f>IF(Q13&gt;0,Q13,"")</f>
        <v/>
      </c>
      <c r="O18" s="95"/>
    </row>
    <row r="19" spans="2:15" x14ac:dyDescent="0.3">
      <c r="O19" s="95"/>
    </row>
    <row r="20" spans="2:15" x14ac:dyDescent="0.3">
      <c r="O20" s="95"/>
    </row>
  </sheetData>
  <dataConsolidate/>
  <mergeCells count="2">
    <mergeCell ref="B16:D16"/>
    <mergeCell ref="V3:X3"/>
  </mergeCells>
  <conditionalFormatting sqref="M6:N13 Q6:Q13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3">
    <cfRule type="cellIs" dxfId="39" priority="1" operator="equal">
      <formula>""</formula>
    </cfRule>
    <cfRule type="cellIs" dxfId="38" priority="2" operator="equal">
      <formula>0</formula>
    </cfRule>
    <cfRule type="cellIs" dxfId="37" priority="3" operator="lessThan">
      <formula>0.01</formula>
    </cfRule>
    <cfRule type="cellIs" dxfId="36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Data!$B$4:$B$6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"/>
  <sheetViews>
    <sheetView topLeftCell="A2" zoomScaleNormal="100" workbookViewId="0">
      <selection activeCell="C3" sqref="C3"/>
    </sheetView>
  </sheetViews>
  <sheetFormatPr defaultRowHeight="14.4" x14ac:dyDescent="0.3"/>
  <cols>
    <col min="2" max="2" width="13.5546875" bestFit="1" customWidth="1"/>
    <col min="3" max="3" width="12.21875" customWidth="1"/>
    <col min="4" max="4" width="13.33203125" customWidth="1"/>
    <col min="7" max="7" width="11.21875" bestFit="1" customWidth="1"/>
    <col min="8" max="8" width="11.21875" customWidth="1"/>
    <col min="9" max="9" width="14.109375" customWidth="1"/>
    <col min="10" max="10" width="15.21875" style="45" customWidth="1"/>
    <col min="11" max="11" width="10.6640625" customWidth="1"/>
    <col min="12" max="12" width="10.44140625" customWidth="1"/>
    <col min="13" max="13" width="10.33203125" customWidth="1"/>
    <col min="14" max="14" width="10.44140625" style="97" customWidth="1"/>
    <col min="15" max="15" width="11.109375" style="90" customWidth="1"/>
    <col min="16" max="16" width="9.5546875" hidden="1" customWidth="1"/>
    <col min="17" max="17" width="13.44140625" hidden="1" customWidth="1"/>
    <col min="18" max="18" width="11.109375" customWidth="1"/>
    <col min="19" max="19" width="11.21875" bestFit="1" customWidth="1"/>
    <col min="22" max="22" width="11" customWidth="1"/>
    <col min="23" max="23" width="12.77734375" customWidth="1"/>
    <col min="26" max="26" width="11" customWidth="1"/>
  </cols>
  <sheetData>
    <row r="2" spans="1:24" ht="15" thickBot="1" x14ac:dyDescent="0.35">
      <c r="G2" s="31"/>
      <c r="H2" s="31"/>
      <c r="I2" s="31"/>
    </row>
    <row r="3" spans="1:24" ht="15" thickBot="1" x14ac:dyDescent="0.35">
      <c r="B3" s="2" t="s">
        <v>35</v>
      </c>
      <c r="C3" s="22" t="s">
        <v>33</v>
      </c>
      <c r="E3" s="2" t="s">
        <v>42</v>
      </c>
      <c r="F3" s="75"/>
      <c r="G3" s="26">
        <f ca="1">IF(C3=Data!B6,TODAY()-1,TODAY())</f>
        <v>44781</v>
      </c>
      <c r="H3" s="39"/>
      <c r="I3" s="39"/>
      <c r="J3" s="2" t="s">
        <v>43</v>
      </c>
      <c r="K3" s="22" t="s">
        <v>44</v>
      </c>
      <c r="V3" s="127"/>
      <c r="W3" s="127"/>
      <c r="X3" s="127"/>
    </row>
    <row r="4" spans="1:24" ht="15" thickBot="1" x14ac:dyDescent="0.35"/>
    <row r="5" spans="1:24" ht="43.8" thickBot="1" x14ac:dyDescent="0.35">
      <c r="B5" s="59" t="s">
        <v>3</v>
      </c>
      <c r="C5" s="60" t="s">
        <v>0</v>
      </c>
      <c r="D5" s="60" t="s">
        <v>1</v>
      </c>
      <c r="E5" s="60" t="s">
        <v>2</v>
      </c>
      <c r="F5" s="60" t="s">
        <v>40</v>
      </c>
      <c r="G5" s="60" t="s">
        <v>39</v>
      </c>
      <c r="H5" s="60" t="s">
        <v>65</v>
      </c>
      <c r="I5" s="60" t="s">
        <v>66</v>
      </c>
      <c r="J5" s="49" t="s">
        <v>139</v>
      </c>
      <c r="K5" s="65" t="s">
        <v>140</v>
      </c>
      <c r="L5" s="65" t="s">
        <v>103</v>
      </c>
      <c r="M5" s="65" t="s">
        <v>118</v>
      </c>
      <c r="N5" s="98" t="s">
        <v>119</v>
      </c>
      <c r="O5" s="91" t="s">
        <v>96</v>
      </c>
      <c r="P5" s="60" t="s">
        <v>36</v>
      </c>
      <c r="Q5" s="61" t="s">
        <v>41</v>
      </c>
      <c r="R5" s="130" t="s">
        <v>60</v>
      </c>
      <c r="S5" s="131"/>
      <c r="T5" s="131"/>
    </row>
    <row r="6" spans="1:24" x14ac:dyDescent="0.3">
      <c r="B6" s="5" t="str">
        <f>VLOOKUP($C$3,TimeTable12H[],2,FALSE)</f>
        <v>18:00-19:00</v>
      </c>
      <c r="C6" s="6" t="str">
        <f>IF(DataAutofill12H!G3&gt;0,DataAutofill8H!G3,"")</f>
        <v/>
      </c>
      <c r="D6" s="46">
        <f>G6</f>
        <v>0</v>
      </c>
      <c r="E6" s="46">
        <f>F6</f>
        <v>0</v>
      </c>
      <c r="F6" s="7"/>
      <c r="G6" s="54"/>
      <c r="H6" s="43"/>
      <c r="I6" s="8"/>
      <c r="J6" s="73" t="e">
        <f>IF(AND(G6&gt;1,(((D6+E6)-C6)/C6)&lt;0)=TRUE,(((D6+E6)-C6)/C6)*-60,"")</f>
        <v>#VALUE!</v>
      </c>
      <c r="K6" s="9" t="str">
        <f>IF(G6&gt;1,((D6+E6)/C6),"")</f>
        <v/>
      </c>
      <c r="L6" s="10" t="str">
        <f>IF(G6&gt;1,(G6/(C6*1)),"")</f>
        <v/>
      </c>
      <c r="M6" s="10" t="str">
        <f>IF(AND(G6&gt;1,F6&gt;1),(F6/(F6+G6)),"")</f>
        <v/>
      </c>
      <c r="N6" s="10"/>
      <c r="O6" s="93"/>
      <c r="P6" s="66" t="str">
        <f t="shared" ref="P6:P13" si="0">IF(D6&gt;1,(D6/$P$16),"")</f>
        <v/>
      </c>
      <c r="Q6" s="11" t="str">
        <f>IF(G6&gt;1,(G6/($P$16*1)),"")</f>
        <v/>
      </c>
      <c r="R6" s="128"/>
      <c r="S6" s="129"/>
      <c r="T6" s="129"/>
    </row>
    <row r="7" spans="1:24" x14ac:dyDescent="0.3">
      <c r="B7" s="12" t="str">
        <f>VLOOKUP($C$3,TimeTable12H[],3,FALSE)</f>
        <v>19:00-20:00</v>
      </c>
      <c r="C7" s="3" t="str">
        <f>IF(DataAutofill12H!G4&gt;0,DataAutofill8H!G4,"")</f>
        <v/>
      </c>
      <c r="D7" s="52">
        <f>IF(AND(G6&gt;1,G7&gt;1)=TRUE,G7-G6,0)</f>
        <v>0</v>
      </c>
      <c r="E7" s="52">
        <f>IF(AND(F6&gt;1,F7&gt;1)=TRUE,F7-F6,0)</f>
        <v>0</v>
      </c>
      <c r="F7" s="13"/>
      <c r="G7" s="55"/>
      <c r="H7" s="44"/>
      <c r="I7" s="14"/>
      <c r="J7" s="74" t="e">
        <f>IF(AND(G7&gt;1,(((D7+E7)-C7)/C7)&lt;0)=TRUE,(((D7+E7)-C7)/C7)*-60,"")</f>
        <v>#VALUE!</v>
      </c>
      <c r="K7" s="15" t="str">
        <f t="shared" ref="K7:K17" si="1">IF(G7&gt;1,((D7+E7)/C7),"")</f>
        <v/>
      </c>
      <c r="L7" s="16" t="str">
        <f>IF(G7&gt;1,(G7/(C7*2)),"")</f>
        <v/>
      </c>
      <c r="M7" s="16" t="str">
        <f t="shared" ref="M7:M17" si="2">IF(AND(G7&gt;1,F7&gt;1),(F7/(F7+G7)),"")</f>
        <v/>
      </c>
      <c r="O7" s="94"/>
      <c r="P7" s="67" t="str">
        <f t="shared" si="0"/>
        <v/>
      </c>
      <c r="Q7" s="17" t="str">
        <f>IF(G7&gt;1,(G7/($P$16*2)),"")</f>
        <v/>
      </c>
      <c r="R7" s="128"/>
      <c r="S7" s="129"/>
      <c r="T7" s="129"/>
    </row>
    <row r="8" spans="1:24" x14ac:dyDescent="0.3">
      <c r="B8" s="12" t="str">
        <f>VLOOKUP($C$3,TimeTable12H[],4,FALSE)</f>
        <v>20:00-21:00</v>
      </c>
      <c r="C8" s="3" t="str">
        <f>IF(DataAutofill12H!G5&gt;0,DataAutofill8H!G5,"")</f>
        <v/>
      </c>
      <c r="D8" s="52">
        <f t="shared" ref="D8:D12" si="3">IF(AND(G7&gt;1,G8&gt;1)=TRUE,G8-G7,0)</f>
        <v>0</v>
      </c>
      <c r="E8" s="52">
        <f t="shared" ref="E8:E17" si="4">IF(AND(F7&gt;1,F8&gt;1)=TRUE,F8-F7,0)</f>
        <v>0</v>
      </c>
      <c r="F8" s="13"/>
      <c r="G8" s="55"/>
      <c r="H8" s="44"/>
      <c r="I8" s="14"/>
      <c r="J8" s="74" t="e">
        <f t="shared" ref="J8:J17" si="5">IF(AND(G8&gt;1,(((D8+E8)-C8)/C8)&lt;0)=TRUE,(((D8+E8)-C8)/C8)*-60,"")</f>
        <v>#VALUE!</v>
      </c>
      <c r="K8" s="15" t="str">
        <f t="shared" si="1"/>
        <v/>
      </c>
      <c r="L8" s="16" t="str">
        <f>IF(G8&gt;1,(G8/(C8*3)),"")</f>
        <v/>
      </c>
      <c r="M8" s="16" t="str">
        <f t="shared" si="2"/>
        <v/>
      </c>
      <c r="O8" s="94"/>
      <c r="P8" s="67" t="str">
        <f t="shared" si="0"/>
        <v/>
      </c>
      <c r="Q8" s="17" t="str">
        <f>IF(G8&gt;1,(G8/($P$16*3)),"")</f>
        <v/>
      </c>
      <c r="R8" s="128"/>
      <c r="S8" s="129"/>
      <c r="T8" s="129"/>
    </row>
    <row r="9" spans="1:24" x14ac:dyDescent="0.3">
      <c r="B9" s="12" t="str">
        <f>VLOOKUP($C$3,TimeTable12H[],5,FALSE)</f>
        <v>21:00-22:00</v>
      </c>
      <c r="C9" s="3" t="str">
        <f>IF(DataAutofill12H!G6&gt;0,DataAutofill8H!G6,"")</f>
        <v/>
      </c>
      <c r="D9" s="52">
        <f>IF(AND(G8&gt;1,G9&gt;1)=TRUE,G9-G8,0)</f>
        <v>0</v>
      </c>
      <c r="E9" s="52">
        <f t="shared" si="4"/>
        <v>0</v>
      </c>
      <c r="F9" s="13"/>
      <c r="G9" s="55"/>
      <c r="H9" s="44"/>
      <c r="I9" s="14"/>
      <c r="J9" s="74" t="e">
        <f t="shared" si="5"/>
        <v>#VALUE!</v>
      </c>
      <c r="K9" s="15" t="str">
        <f t="shared" si="1"/>
        <v/>
      </c>
      <c r="L9" s="16" t="str">
        <f>IF(G9&gt;1,(G9/(C9*4)),"")</f>
        <v/>
      </c>
      <c r="M9" s="16" t="str">
        <f t="shared" si="2"/>
        <v/>
      </c>
      <c r="O9" s="94"/>
      <c r="P9" s="67" t="str">
        <f t="shared" si="0"/>
        <v/>
      </c>
      <c r="Q9" s="17" t="str">
        <f>IF(G9&gt;1,(G9/($P$16*4)),"")</f>
        <v/>
      </c>
      <c r="R9" s="128"/>
      <c r="S9" s="129"/>
      <c r="T9" s="129"/>
    </row>
    <row r="10" spans="1:24" x14ac:dyDescent="0.3">
      <c r="B10" s="12" t="str">
        <f>VLOOKUP($C$3,TimeTable12H[],6,FALSE)</f>
        <v>22:00-23:00</v>
      </c>
      <c r="C10" s="3" t="str">
        <f>IF(DataAutofill12H!G7&gt;0,DataAutofill8H!G7,"")</f>
        <v/>
      </c>
      <c r="D10" s="52">
        <f t="shared" si="3"/>
        <v>0</v>
      </c>
      <c r="E10" s="52">
        <f t="shared" si="4"/>
        <v>0</v>
      </c>
      <c r="F10" s="13"/>
      <c r="G10" s="55"/>
      <c r="H10" s="44"/>
      <c r="I10" s="14"/>
      <c r="J10" s="74" t="e">
        <f t="shared" si="5"/>
        <v>#VALUE!</v>
      </c>
      <c r="K10" s="15" t="str">
        <f t="shared" si="1"/>
        <v/>
      </c>
      <c r="L10" s="16" t="str">
        <f>IF(G10&gt;1,(G10/(C10*5)),"")</f>
        <v/>
      </c>
      <c r="M10" s="16" t="str">
        <f t="shared" si="2"/>
        <v/>
      </c>
      <c r="O10" s="94"/>
      <c r="P10" s="67" t="str">
        <f t="shared" si="0"/>
        <v/>
      </c>
      <c r="Q10" s="17" t="str">
        <f>IF(G10&gt;1,(G10/($P$16*5)),"")</f>
        <v/>
      </c>
      <c r="R10" s="128"/>
      <c r="S10" s="129"/>
      <c r="T10" s="129"/>
    </row>
    <row r="11" spans="1:24" x14ac:dyDescent="0.3">
      <c r="B11" s="71" t="str">
        <f>VLOOKUP($C$3,TimeTable12H[],7,FALSE)</f>
        <v>23:00-0:00</v>
      </c>
      <c r="C11" s="3" t="str">
        <f>IF(DataAutofill12H!G8&gt;0,DataAutofill8H!G8,"")</f>
        <v/>
      </c>
      <c r="D11" s="52">
        <f t="shared" si="3"/>
        <v>0</v>
      </c>
      <c r="E11" s="52">
        <f t="shared" si="4"/>
        <v>0</v>
      </c>
      <c r="F11" s="13"/>
      <c r="G11" s="55"/>
      <c r="H11" s="44"/>
      <c r="I11" s="14"/>
      <c r="J11" s="74" t="e">
        <f t="shared" si="5"/>
        <v>#VALUE!</v>
      </c>
      <c r="K11" s="15" t="str">
        <f t="shared" si="1"/>
        <v/>
      </c>
      <c r="L11" s="16" t="str">
        <f>IF(G11&gt;1,(G11/(C11*6)),"")</f>
        <v/>
      </c>
      <c r="M11" s="16" t="str">
        <f t="shared" si="2"/>
        <v/>
      </c>
      <c r="O11" s="94"/>
      <c r="P11" s="67" t="str">
        <f t="shared" si="0"/>
        <v/>
      </c>
      <c r="Q11" s="17" t="str">
        <f>IF(G11&gt;1,(G11/($P$16*6)),"")</f>
        <v/>
      </c>
      <c r="R11" s="128"/>
      <c r="S11" s="129"/>
      <c r="T11" s="129"/>
    </row>
    <row r="12" spans="1:24" x14ac:dyDescent="0.3">
      <c r="B12" s="71" t="str">
        <f>VLOOKUP($C$3,TimeTable12H[],8,FALSE)</f>
        <v>0:00-1:00</v>
      </c>
      <c r="C12" s="3" t="str">
        <f>IF(DataAutofill12H!G9&gt;0,DataAutofill8H!G9,"")</f>
        <v/>
      </c>
      <c r="D12" s="52">
        <f t="shared" si="3"/>
        <v>0</v>
      </c>
      <c r="E12" s="52">
        <f t="shared" si="4"/>
        <v>0</v>
      </c>
      <c r="F12" s="13"/>
      <c r="G12" s="55"/>
      <c r="H12" s="44"/>
      <c r="I12" s="14"/>
      <c r="J12" s="74" t="e">
        <f t="shared" si="5"/>
        <v>#VALUE!</v>
      </c>
      <c r="K12" s="15" t="str">
        <f t="shared" si="1"/>
        <v/>
      </c>
      <c r="L12" s="16" t="str">
        <f>IF(G12&gt;1,(G12/(C12*7)),"")</f>
        <v/>
      </c>
      <c r="M12" s="16" t="str">
        <f t="shared" si="2"/>
        <v/>
      </c>
      <c r="N12" s="16"/>
      <c r="O12" s="94"/>
      <c r="P12" s="67" t="str">
        <f t="shared" si="0"/>
        <v/>
      </c>
      <c r="Q12" s="17" t="str">
        <f>IF(G12&gt;1,(G12/($P$16*7)),"")</f>
        <v/>
      </c>
      <c r="R12" s="128"/>
      <c r="S12" s="129"/>
      <c r="T12" s="129"/>
    </row>
    <row r="13" spans="1:24" ht="15" thickBot="1" x14ac:dyDescent="0.35">
      <c r="B13" s="71" t="str">
        <f>VLOOKUP($C$3,TimeTable12H[],9,FALSE)</f>
        <v>1:00-2:00</v>
      </c>
      <c r="C13" s="3" t="str">
        <f>IF(DataAutofill12H!G10&gt;0,DataAutofill8H!G10,"")</f>
        <v/>
      </c>
      <c r="D13" s="52">
        <f>IF(AND(G12&gt;1,G13&gt;1)=TRUE,G13-G12,0)</f>
        <v>0</v>
      </c>
      <c r="E13" s="52">
        <f t="shared" si="4"/>
        <v>0</v>
      </c>
      <c r="F13" s="13"/>
      <c r="G13" s="55"/>
      <c r="H13" s="55"/>
      <c r="I13" s="13"/>
      <c r="J13" s="47" t="e">
        <f t="shared" si="5"/>
        <v>#VALUE!</v>
      </c>
      <c r="K13" s="15" t="str">
        <f t="shared" si="1"/>
        <v/>
      </c>
      <c r="L13" s="16" t="str">
        <f>IF(G13&gt;1,(G13/(C13*8)),"")</f>
        <v/>
      </c>
      <c r="M13" s="16" t="str">
        <f t="shared" si="2"/>
        <v/>
      </c>
      <c r="N13" s="16"/>
      <c r="O13" s="94"/>
      <c r="P13" s="68" t="str">
        <f t="shared" si="0"/>
        <v/>
      </c>
      <c r="Q13" s="27" t="str">
        <f>IF(G13&gt;1,(G13/($P$16*8)),"")</f>
        <v/>
      </c>
      <c r="R13" s="128"/>
      <c r="S13" s="129"/>
      <c r="T13" s="129"/>
    </row>
    <row r="14" spans="1:24" x14ac:dyDescent="0.3">
      <c r="A14" s="1"/>
      <c r="B14" s="71" t="str">
        <f>VLOOKUP($C$3,TimeTable12H[],10,FALSE)</f>
        <v>2:00-3:00</v>
      </c>
      <c r="C14" s="3" t="str">
        <f>IF(DataAutofill12H!G11&gt;0,DataAutofill8H!G11,"")</f>
        <v/>
      </c>
      <c r="D14" s="52">
        <f t="shared" ref="D14:D17" si="6">IF(AND(G13&gt;1,G14&gt;1)=TRUE,G14-G13,0)</f>
        <v>0</v>
      </c>
      <c r="E14" s="52">
        <f t="shared" si="4"/>
        <v>0</v>
      </c>
      <c r="F14" s="13"/>
      <c r="G14" s="55"/>
      <c r="H14" s="55"/>
      <c r="I14" s="13"/>
      <c r="J14" s="47" t="e">
        <f t="shared" si="5"/>
        <v>#VALUE!</v>
      </c>
      <c r="K14" s="15" t="str">
        <f t="shared" si="1"/>
        <v/>
      </c>
      <c r="L14" s="16" t="str">
        <f>IF(G14&gt;1,(G14/(C14*9)),"")</f>
        <v/>
      </c>
      <c r="M14" s="16" t="str">
        <f t="shared" si="2"/>
        <v/>
      </c>
      <c r="N14" s="16"/>
      <c r="O14" s="94"/>
      <c r="R14" s="128"/>
      <c r="S14" s="129"/>
      <c r="T14" s="129"/>
    </row>
    <row r="15" spans="1:24" x14ac:dyDescent="0.3">
      <c r="B15" s="71" t="str">
        <f>VLOOKUP($C$3,TimeTable12H[],11,FALSE)</f>
        <v>3:00-4:00</v>
      </c>
      <c r="C15" s="3" t="str">
        <f>IF(DataAutofill12H!G12&gt;0,DataAutofill8H!G12,"")</f>
        <v/>
      </c>
      <c r="D15" s="52">
        <f t="shared" si="6"/>
        <v>0</v>
      </c>
      <c r="E15" s="52">
        <f t="shared" si="4"/>
        <v>0</v>
      </c>
      <c r="F15" s="13"/>
      <c r="G15" s="55"/>
      <c r="H15" s="55"/>
      <c r="I15" s="13"/>
      <c r="J15" s="47" t="e">
        <f t="shared" si="5"/>
        <v>#VALUE!</v>
      </c>
      <c r="K15" s="15" t="str">
        <f t="shared" si="1"/>
        <v/>
      </c>
      <c r="L15" s="16" t="str">
        <f>IF(G15&gt;1,(G15/(C15*10)),"")</f>
        <v/>
      </c>
      <c r="M15" s="16" t="str">
        <f t="shared" si="2"/>
        <v/>
      </c>
      <c r="N15" s="16"/>
      <c r="O15" s="94"/>
      <c r="P15" t="s">
        <v>28</v>
      </c>
      <c r="Q15" s="28" t="s">
        <v>52</v>
      </c>
      <c r="R15" s="128"/>
      <c r="S15" s="129"/>
      <c r="T15" s="129"/>
    </row>
    <row r="16" spans="1:24" x14ac:dyDescent="0.3">
      <c r="B16" s="71" t="str">
        <f>VLOOKUP($C$3,TimeTable12H[],12,FALSE)</f>
        <v>4:00-5:00</v>
      </c>
      <c r="C16" s="3" t="str">
        <f>IF(DataAutofill12H!G13&gt;0,DataAutofill8H!G13,"")</f>
        <v/>
      </c>
      <c r="D16" s="52">
        <f t="shared" si="6"/>
        <v>0</v>
      </c>
      <c r="E16" s="52">
        <f t="shared" si="4"/>
        <v>0</v>
      </c>
      <c r="F16" s="13"/>
      <c r="G16" s="55"/>
      <c r="H16" s="55"/>
      <c r="I16" s="13"/>
      <c r="J16" s="47" t="e">
        <f t="shared" si="5"/>
        <v>#VALUE!</v>
      </c>
      <c r="K16" s="15" t="str">
        <f t="shared" si="1"/>
        <v/>
      </c>
      <c r="L16" s="16" t="str">
        <f>IF(G16&gt;1,(G16/(C16*11)),"")</f>
        <v/>
      </c>
      <c r="M16" s="16" t="str">
        <f t="shared" si="2"/>
        <v/>
      </c>
      <c r="N16" s="16"/>
      <c r="O16" s="94"/>
      <c r="P16">
        <f>818*(6/8)</f>
        <v>613.5</v>
      </c>
      <c r="Q16" s="51">
        <f>6/8</f>
        <v>0.75</v>
      </c>
      <c r="R16" s="128"/>
      <c r="S16" s="129"/>
      <c r="T16" s="129"/>
    </row>
    <row r="17" spans="2:20" ht="15" thickBot="1" x14ac:dyDescent="0.35">
      <c r="B17" s="18" t="str">
        <f>VLOOKUP($C$3,TimeTable12H[],13,FALSE)</f>
        <v>5:00-6:00</v>
      </c>
      <c r="C17" s="4" t="str">
        <f>IF(DataAutofill12H!G14&gt;0,DataAutofill8H!G14,"")</f>
        <v/>
      </c>
      <c r="D17" s="53">
        <f t="shared" si="6"/>
        <v>0</v>
      </c>
      <c r="E17" s="53">
        <f t="shared" si="4"/>
        <v>0</v>
      </c>
      <c r="F17" s="19"/>
      <c r="G17" s="56"/>
      <c r="H17" s="56"/>
      <c r="I17" s="19"/>
      <c r="J17" s="48" t="e">
        <f t="shared" si="5"/>
        <v>#VALUE!</v>
      </c>
      <c r="K17" s="20" t="str">
        <f t="shared" si="1"/>
        <v/>
      </c>
      <c r="L17" s="21" t="str">
        <f>IF(G17&gt;1,(G17/(C17*12)),"")</f>
        <v/>
      </c>
      <c r="M17" s="21" t="str">
        <f t="shared" si="2"/>
        <v/>
      </c>
      <c r="N17" s="21"/>
      <c r="O17" s="96"/>
      <c r="P17" s="1"/>
      <c r="R17" s="128"/>
      <c r="S17" s="129"/>
      <c r="T17" s="129"/>
    </row>
    <row r="18" spans="2:20" ht="15" thickBot="1" x14ac:dyDescent="0.35"/>
    <row r="19" spans="2:20" ht="15" thickBot="1" x14ac:dyDescent="0.35">
      <c r="M19" s="92"/>
    </row>
    <row r="20" spans="2:20" x14ac:dyDescent="0.3">
      <c r="B20" s="132" t="s">
        <v>38</v>
      </c>
      <c r="C20" s="133"/>
      <c r="D20" s="134"/>
      <c r="J20" s="104"/>
      <c r="M20" s="95"/>
      <c r="P20" s="30"/>
    </row>
    <row r="21" spans="2:20" x14ac:dyDescent="0.3">
      <c r="B21" s="23" t="s">
        <v>39</v>
      </c>
      <c r="C21" s="24" t="s">
        <v>40</v>
      </c>
      <c r="D21" s="25" t="s">
        <v>37</v>
      </c>
      <c r="M21" s="95"/>
    </row>
    <row r="22" spans="2:20" ht="15" thickBot="1" x14ac:dyDescent="0.35">
      <c r="B22" s="57" t="str">
        <f>IF(G17&gt;1,G17,"")</f>
        <v/>
      </c>
      <c r="C22" s="58" t="str">
        <f>IF(G17&gt;1,SUM(E6:E17),"")</f>
        <v/>
      </c>
      <c r="D22" s="27" t="str">
        <f>IF(G17&gt;1,(G17/(C17*8)),"")</f>
        <v/>
      </c>
      <c r="M22" s="95"/>
    </row>
    <row r="23" spans="2:20" x14ac:dyDescent="0.3">
      <c r="M23" s="95"/>
    </row>
    <row r="24" spans="2:20" x14ac:dyDescent="0.3">
      <c r="M24" s="95"/>
    </row>
  </sheetData>
  <dataConsolidate/>
  <mergeCells count="15">
    <mergeCell ref="R10:T10"/>
    <mergeCell ref="R11:T11"/>
    <mergeCell ref="R12:T12"/>
    <mergeCell ref="R13:T13"/>
    <mergeCell ref="B20:D20"/>
    <mergeCell ref="R14:T14"/>
    <mergeCell ref="R15:T15"/>
    <mergeCell ref="R16:T16"/>
    <mergeCell ref="R17:T17"/>
    <mergeCell ref="R9:T9"/>
    <mergeCell ref="V3:X3"/>
    <mergeCell ref="R5:T5"/>
    <mergeCell ref="R6:T6"/>
    <mergeCell ref="R7:T7"/>
    <mergeCell ref="R8:T8"/>
  </mergeCells>
  <conditionalFormatting sqref="K6:L17 O6:O17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M6:N17">
    <cfRule type="cellIs" dxfId="35" priority="1" operator="equal">
      <formula>""</formula>
    </cfRule>
    <cfRule type="cellIs" dxfId="34" priority="2" operator="equal">
      <formula>0</formula>
    </cfRule>
    <cfRule type="cellIs" dxfId="33" priority="3" operator="lessThan">
      <formula>0.01</formula>
    </cfRule>
    <cfRule type="cellIs" dxfId="32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Data!$B$10:$B$11</xm:f>
          </x14:formula1>
          <xm:sqref>C3</xm:sqref>
        </x14:dataValidation>
        <x14:dataValidation type="list" allowBlank="1" showInputMessage="1" showErrorMessage="1">
          <x14:formula1>
            <xm:f>Data!#REF!</xm:f>
          </x14:formula1>
          <xm:sqref>K3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I10" sqref="I10:J10"/>
    </sheetView>
  </sheetViews>
  <sheetFormatPr defaultRowHeight="14.4" x14ac:dyDescent="0.3"/>
  <cols>
    <col min="1" max="2" width="8.88671875" style="76"/>
    <col min="3" max="3" width="19" style="76" customWidth="1"/>
    <col min="4" max="4" width="22.88671875" style="76" customWidth="1"/>
    <col min="5" max="5" width="12.6640625" style="76" customWidth="1"/>
    <col min="6" max="7" width="20.6640625" style="76" customWidth="1"/>
    <col min="8" max="8" width="11.109375" style="76" customWidth="1"/>
    <col min="9" max="9" width="55" style="76" customWidth="1"/>
    <col min="10" max="10" width="40.109375" style="76" customWidth="1"/>
    <col min="11" max="11" width="15.5546875" style="76" customWidth="1"/>
    <col min="12" max="16384" width="8.88671875" style="76"/>
  </cols>
  <sheetData>
    <row r="1" spans="3:11" ht="15" thickBot="1" x14ac:dyDescent="0.35"/>
    <row r="2" spans="3:11" ht="30" customHeight="1" x14ac:dyDescent="0.3">
      <c r="C2" s="138" t="s">
        <v>105</v>
      </c>
      <c r="D2" s="139"/>
      <c r="E2" s="139"/>
      <c r="F2" s="139"/>
      <c r="G2" s="139"/>
      <c r="H2" s="139"/>
      <c r="I2" s="77" t="s">
        <v>106</v>
      </c>
      <c r="J2" s="77" t="s">
        <v>107</v>
      </c>
    </row>
    <row r="3" spans="3:11" ht="30" customHeight="1" thickBot="1" x14ac:dyDescent="0.35">
      <c r="C3" s="140"/>
      <c r="D3" s="141"/>
      <c r="E3" s="141"/>
      <c r="F3" s="141"/>
      <c r="G3" s="141"/>
      <c r="H3" s="142"/>
      <c r="I3" s="78" t="s">
        <v>108</v>
      </c>
      <c r="J3" s="78" t="s">
        <v>109</v>
      </c>
    </row>
    <row r="4" spans="3:11" ht="21.6" thickBot="1" x14ac:dyDescent="0.45">
      <c r="C4" s="79" t="s">
        <v>110</v>
      </c>
      <c r="D4" s="79" t="s">
        <v>43</v>
      </c>
      <c r="E4" s="79" t="s">
        <v>111</v>
      </c>
      <c r="F4" s="79" t="s">
        <v>112</v>
      </c>
      <c r="G4" s="80" t="s">
        <v>113</v>
      </c>
      <c r="H4" s="80" t="s">
        <v>114</v>
      </c>
      <c r="I4" s="143" t="s">
        <v>115</v>
      </c>
      <c r="J4" s="144"/>
      <c r="K4" s="81" t="s">
        <v>116</v>
      </c>
    </row>
    <row r="5" spans="3:11" ht="36.6" x14ac:dyDescent="0.3">
      <c r="C5" s="100" t="str">
        <f>'8H'!B6</f>
        <v>22:00-23:00</v>
      </c>
      <c r="D5" s="113" t="str">
        <f>'8H'!C6</f>
        <v/>
      </c>
      <c r="E5" s="82" t="str">
        <f>'8H'!D6</f>
        <v/>
      </c>
      <c r="F5" s="101" t="str">
        <f>'8H'!E6</f>
        <v/>
      </c>
      <c r="G5" s="101" t="str">
        <f>'8H'!F6</f>
        <v/>
      </c>
      <c r="H5" s="83"/>
      <c r="I5" s="136" t="str">
        <f>IF('8H'!T6="","",'8H'!T6)</f>
        <v/>
      </c>
      <c r="J5" s="137"/>
      <c r="K5" s="84"/>
    </row>
    <row r="6" spans="3:11" ht="36.6" x14ac:dyDescent="0.3">
      <c r="C6" s="100" t="str">
        <f>'8H'!B7</f>
        <v>23:00-0:00</v>
      </c>
      <c r="D6" s="113" t="str">
        <f>'8H'!C7</f>
        <v/>
      </c>
      <c r="E6" s="82" t="str">
        <f>'8H'!D7</f>
        <v/>
      </c>
      <c r="F6" s="101" t="str">
        <f>'8H'!E7</f>
        <v/>
      </c>
      <c r="G6" s="101" t="str">
        <f>'8H'!F7</f>
        <v/>
      </c>
      <c r="H6" s="83"/>
      <c r="I6" s="136" t="str">
        <f>IF('8H'!T7="","",'8H'!T7)</f>
        <v/>
      </c>
      <c r="J6" s="137"/>
      <c r="K6" s="84"/>
    </row>
    <row r="7" spans="3:11" ht="36.6" x14ac:dyDescent="0.3">
      <c r="C7" s="100" t="str">
        <f>'8H'!B8</f>
        <v>0:00-1:00</v>
      </c>
      <c r="D7" s="113" t="str">
        <f>'8H'!C8</f>
        <v/>
      </c>
      <c r="E7" s="82" t="str">
        <f>'8H'!D8</f>
        <v/>
      </c>
      <c r="F7" s="101" t="str">
        <f>'8H'!E8</f>
        <v/>
      </c>
      <c r="G7" s="101" t="str">
        <f>'8H'!F8</f>
        <v/>
      </c>
      <c r="H7" s="83"/>
      <c r="I7" s="136" t="str">
        <f>IF('8H'!T8="","",'8H'!T8)</f>
        <v/>
      </c>
      <c r="J7" s="137"/>
      <c r="K7" s="84"/>
    </row>
    <row r="8" spans="3:11" ht="36.6" x14ac:dyDescent="0.3">
      <c r="C8" s="100" t="str">
        <f>'8H'!B9</f>
        <v>1:00-2:00</v>
      </c>
      <c r="D8" s="113" t="str">
        <f>'8H'!C9</f>
        <v/>
      </c>
      <c r="E8" s="82" t="str">
        <f>'8H'!D9</f>
        <v/>
      </c>
      <c r="F8" s="101" t="str">
        <f>'8H'!E9</f>
        <v/>
      </c>
      <c r="G8" s="101" t="str">
        <f>'8H'!F9</f>
        <v/>
      </c>
      <c r="H8" s="83"/>
      <c r="I8" s="136" t="str">
        <f>IF('8H'!T9="","",'8H'!T9)</f>
        <v/>
      </c>
      <c r="J8" s="137"/>
      <c r="K8" s="84"/>
    </row>
    <row r="9" spans="3:11" ht="36.6" x14ac:dyDescent="0.3">
      <c r="C9" s="100" t="str">
        <f>'8H'!B10</f>
        <v>2:00-3:00</v>
      </c>
      <c r="D9" s="113" t="str">
        <f>'8H'!C10</f>
        <v/>
      </c>
      <c r="E9" s="82" t="str">
        <f>'8H'!D10</f>
        <v/>
      </c>
      <c r="F9" s="101" t="str">
        <f>'8H'!E10</f>
        <v/>
      </c>
      <c r="G9" s="101" t="str">
        <f>'8H'!F10</f>
        <v/>
      </c>
      <c r="H9" s="83"/>
      <c r="I9" s="136" t="str">
        <f>IF('8H'!T10="","",'8H'!T10)</f>
        <v/>
      </c>
      <c r="J9" s="137"/>
      <c r="K9" s="84"/>
    </row>
    <row r="10" spans="3:11" ht="36.6" x14ac:dyDescent="0.3">
      <c r="C10" s="100" t="str">
        <f>'8H'!B11</f>
        <v>3:00-4:00</v>
      </c>
      <c r="D10" s="113" t="str">
        <f>'8H'!C11</f>
        <v/>
      </c>
      <c r="E10" s="82" t="str">
        <f>'8H'!D11</f>
        <v/>
      </c>
      <c r="F10" s="101" t="str">
        <f>'8H'!E11</f>
        <v/>
      </c>
      <c r="G10" s="101" t="str">
        <f>'8H'!F11</f>
        <v/>
      </c>
      <c r="H10" s="83"/>
      <c r="I10" s="136" t="str">
        <f>IF('8H'!T11="","",'8H'!T11)</f>
        <v/>
      </c>
      <c r="J10" s="137"/>
      <c r="K10" s="84"/>
    </row>
    <row r="11" spans="3:11" ht="36.6" x14ac:dyDescent="0.3">
      <c r="C11" s="100" t="str">
        <f>'8H'!B12</f>
        <v>4:00-5:00</v>
      </c>
      <c r="D11" s="113" t="str">
        <f>'8H'!C12</f>
        <v/>
      </c>
      <c r="E11" s="82" t="str">
        <f>'8H'!D12</f>
        <v/>
      </c>
      <c r="F11" s="101" t="str">
        <f>'8H'!E12</f>
        <v/>
      </c>
      <c r="G11" s="101" t="str">
        <f>'8H'!F12</f>
        <v/>
      </c>
      <c r="H11" s="83"/>
      <c r="I11" s="136" t="str">
        <f>IF('8H'!T12="","",'8H'!T12)</f>
        <v/>
      </c>
      <c r="J11" s="137"/>
      <c r="K11" s="84"/>
    </row>
    <row r="12" spans="3:11" ht="36.6" x14ac:dyDescent="0.3">
      <c r="C12" s="100" t="str">
        <f>'8H'!B13</f>
        <v>5:00-6:00</v>
      </c>
      <c r="D12" s="113" t="str">
        <f>'8H'!C13</f>
        <v/>
      </c>
      <c r="E12" s="82" t="str">
        <f>'8H'!D13</f>
        <v/>
      </c>
      <c r="F12" s="101" t="str">
        <f>'8H'!E13</f>
        <v/>
      </c>
      <c r="G12" s="101" t="str">
        <f>'8H'!F13</f>
        <v/>
      </c>
      <c r="H12" s="83"/>
      <c r="I12" s="136" t="str">
        <f>IF('8H'!T13="","",'8H'!T13)</f>
        <v/>
      </c>
      <c r="J12" s="137"/>
      <c r="K12" s="84"/>
    </row>
    <row r="13" spans="3:11" ht="60" customHeight="1" x14ac:dyDescent="0.3">
      <c r="C13" s="135" t="s">
        <v>117</v>
      </c>
      <c r="D13" s="135"/>
      <c r="E13" s="135"/>
      <c r="F13" s="82" t="str">
        <f>'8H'!B18</f>
        <v/>
      </c>
      <c r="G13" s="86" t="str">
        <f>'8H'!C18</f>
        <v/>
      </c>
      <c r="H13" s="121"/>
      <c r="I13" s="103" t="s">
        <v>126</v>
      </c>
      <c r="J13" s="123" t="str">
        <f>'8H'!D18</f>
        <v/>
      </c>
    </row>
    <row r="14" spans="3:11" x14ac:dyDescent="0.3">
      <c r="H14" s="122"/>
    </row>
  </sheetData>
  <mergeCells count="11">
    <mergeCell ref="I8:J8"/>
    <mergeCell ref="C2:H3"/>
    <mergeCell ref="I4:J4"/>
    <mergeCell ref="I5:J5"/>
    <mergeCell ref="I6:J6"/>
    <mergeCell ref="I7:J7"/>
    <mergeCell ref="C13:E13"/>
    <mergeCell ref="I9:J9"/>
    <mergeCell ref="I10:J10"/>
    <mergeCell ref="I11:J11"/>
    <mergeCell ref="I12:J12"/>
  </mergeCells>
  <pageMargins left="0.25" right="0.25" top="0.75" bottom="0.75" header="0.3" footer="0.3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7"/>
  <sheetViews>
    <sheetView zoomScale="70" zoomScaleNormal="70" workbookViewId="0">
      <selection activeCell="I5" sqref="I5:J5"/>
    </sheetView>
  </sheetViews>
  <sheetFormatPr defaultRowHeight="14.4" x14ac:dyDescent="0.3"/>
  <cols>
    <col min="1" max="2" width="8.88671875" style="76"/>
    <col min="3" max="3" width="19" style="76" customWidth="1"/>
    <col min="4" max="4" width="22.88671875" style="76" customWidth="1"/>
    <col min="5" max="5" width="12.6640625" style="76" customWidth="1"/>
    <col min="6" max="7" width="20.6640625" style="76" customWidth="1"/>
    <col min="8" max="8" width="11.109375" style="76" customWidth="1"/>
    <col min="9" max="9" width="55" style="76" customWidth="1"/>
    <col min="10" max="10" width="40.109375" style="76" customWidth="1"/>
    <col min="11" max="11" width="15.5546875" style="76" customWidth="1"/>
    <col min="12" max="16384" width="8.88671875" style="76"/>
  </cols>
  <sheetData>
    <row r="1" spans="3:11" ht="15" thickBot="1" x14ac:dyDescent="0.35"/>
    <row r="2" spans="3:11" ht="30" customHeight="1" x14ac:dyDescent="0.3">
      <c r="C2" s="138" t="s">
        <v>105</v>
      </c>
      <c r="D2" s="139"/>
      <c r="E2" s="139"/>
      <c r="F2" s="139"/>
      <c r="G2" s="139"/>
      <c r="H2" s="139"/>
      <c r="I2" s="77" t="s">
        <v>106</v>
      </c>
      <c r="J2" s="77" t="s">
        <v>107</v>
      </c>
    </row>
    <row r="3" spans="3:11" ht="30" customHeight="1" thickBot="1" x14ac:dyDescent="0.35">
      <c r="C3" s="140"/>
      <c r="D3" s="141"/>
      <c r="E3" s="141"/>
      <c r="F3" s="141"/>
      <c r="G3" s="141"/>
      <c r="H3" s="142"/>
      <c r="I3" s="78" t="s">
        <v>108</v>
      </c>
      <c r="J3" s="78" t="s">
        <v>109</v>
      </c>
    </row>
    <row r="4" spans="3:11" ht="21.6" thickBot="1" x14ac:dyDescent="0.45">
      <c r="C4" s="79" t="s">
        <v>110</v>
      </c>
      <c r="D4" s="79" t="s">
        <v>43</v>
      </c>
      <c r="E4" s="79" t="s">
        <v>111</v>
      </c>
      <c r="F4" s="79" t="s">
        <v>112</v>
      </c>
      <c r="G4" s="80" t="s">
        <v>113</v>
      </c>
      <c r="H4" s="80" t="s">
        <v>114</v>
      </c>
      <c r="I4" s="143" t="s">
        <v>115</v>
      </c>
      <c r="J4" s="144"/>
      <c r="K4" s="81" t="s">
        <v>116</v>
      </c>
    </row>
    <row r="5" spans="3:11" ht="36.6" x14ac:dyDescent="0.3">
      <c r="C5" s="100" t="str">
        <f>'12H'!B6</f>
        <v>18:00-19:00</v>
      </c>
      <c r="D5" s="99"/>
      <c r="E5" s="82" t="str">
        <f>'12H'!C6</f>
        <v/>
      </c>
      <c r="F5" s="101">
        <f>'12H'!D6</f>
        <v>0</v>
      </c>
      <c r="G5" s="101">
        <f>'12H'!E6</f>
        <v>0</v>
      </c>
      <c r="H5" s="83"/>
      <c r="I5" s="145"/>
      <c r="J5" s="146"/>
      <c r="K5" s="84"/>
    </row>
    <row r="6" spans="3:11" ht="36.6" x14ac:dyDescent="0.3">
      <c r="C6" s="100" t="str">
        <f>'12H'!B7</f>
        <v>19:00-20:00</v>
      </c>
      <c r="D6" s="85"/>
      <c r="E6" s="82" t="str">
        <f>'12H'!C7</f>
        <v/>
      </c>
      <c r="F6" s="101">
        <f>'12H'!D7</f>
        <v>0</v>
      </c>
      <c r="G6" s="101">
        <f>'12H'!E7</f>
        <v>0</v>
      </c>
      <c r="H6" s="83"/>
      <c r="I6" s="145"/>
      <c r="J6" s="146"/>
      <c r="K6" s="84"/>
    </row>
    <row r="7" spans="3:11" ht="36.6" x14ac:dyDescent="0.3">
      <c r="C7" s="100" t="str">
        <f>'12H'!B8</f>
        <v>20:00-21:00</v>
      </c>
      <c r="D7" s="85"/>
      <c r="E7" s="82" t="str">
        <f>'12H'!C8</f>
        <v/>
      </c>
      <c r="F7" s="101">
        <f>'12H'!D8</f>
        <v>0</v>
      </c>
      <c r="G7" s="101">
        <f>'12H'!E8</f>
        <v>0</v>
      </c>
      <c r="H7" s="83"/>
      <c r="I7" s="145"/>
      <c r="J7" s="146"/>
      <c r="K7" s="84"/>
    </row>
    <row r="8" spans="3:11" ht="36.6" x14ac:dyDescent="0.3">
      <c r="C8" s="100" t="str">
        <f>'12H'!B9</f>
        <v>21:00-22:00</v>
      </c>
      <c r="D8" s="85"/>
      <c r="E8" s="82" t="str">
        <f>'12H'!C9</f>
        <v/>
      </c>
      <c r="F8" s="101">
        <f>'12H'!D9</f>
        <v>0</v>
      </c>
      <c r="G8" s="101">
        <f>'12H'!E9</f>
        <v>0</v>
      </c>
      <c r="H8" s="83"/>
      <c r="I8" s="145"/>
      <c r="J8" s="146"/>
      <c r="K8" s="84"/>
    </row>
    <row r="9" spans="3:11" ht="36.6" x14ac:dyDescent="0.3">
      <c r="C9" s="100" t="str">
        <f>'12H'!B10</f>
        <v>22:00-23:00</v>
      </c>
      <c r="D9" s="85"/>
      <c r="E9" s="82" t="str">
        <f>'12H'!C10</f>
        <v/>
      </c>
      <c r="F9" s="101">
        <f>'12H'!D10</f>
        <v>0</v>
      </c>
      <c r="G9" s="101">
        <f>'12H'!E10</f>
        <v>0</v>
      </c>
      <c r="H9" s="83"/>
      <c r="I9" s="145"/>
      <c r="J9" s="146"/>
      <c r="K9" s="84"/>
    </row>
    <row r="10" spans="3:11" ht="36.6" x14ac:dyDescent="0.3">
      <c r="C10" s="100" t="str">
        <f>'12H'!B11</f>
        <v>23:00-0:00</v>
      </c>
      <c r="D10" s="85"/>
      <c r="E10" s="82" t="str">
        <f>'12H'!C11</f>
        <v/>
      </c>
      <c r="F10" s="101">
        <f>'12H'!D11</f>
        <v>0</v>
      </c>
      <c r="G10" s="101">
        <f>'12H'!E11</f>
        <v>0</v>
      </c>
      <c r="H10" s="83"/>
      <c r="I10" s="145"/>
      <c r="J10" s="146"/>
      <c r="K10" s="84"/>
    </row>
    <row r="11" spans="3:11" ht="36.6" x14ac:dyDescent="0.3">
      <c r="C11" s="100" t="str">
        <f>'12H'!B12</f>
        <v>0:00-1:00</v>
      </c>
      <c r="D11" s="85"/>
      <c r="E11" s="82" t="str">
        <f>'12H'!C12</f>
        <v/>
      </c>
      <c r="F11" s="101">
        <f>'12H'!D12</f>
        <v>0</v>
      </c>
      <c r="G11" s="101">
        <f>'12H'!E12</f>
        <v>0</v>
      </c>
      <c r="H11" s="83"/>
      <c r="I11" s="145"/>
      <c r="J11" s="146"/>
      <c r="K11" s="84"/>
    </row>
    <row r="12" spans="3:11" ht="36.6" x14ac:dyDescent="0.3">
      <c r="C12" s="100" t="str">
        <f>'12H'!B13</f>
        <v>1:00-2:00</v>
      </c>
      <c r="D12" s="85"/>
      <c r="E12" s="82" t="str">
        <f>'12H'!C13</f>
        <v/>
      </c>
      <c r="F12" s="101">
        <f>'12H'!D13</f>
        <v>0</v>
      </c>
      <c r="G12" s="101">
        <f>'12H'!E13</f>
        <v>0</v>
      </c>
      <c r="H12" s="83"/>
      <c r="I12" s="145"/>
      <c r="J12" s="146"/>
      <c r="K12" s="84"/>
    </row>
    <row r="13" spans="3:11" ht="36.6" x14ac:dyDescent="0.3">
      <c r="C13" s="100" t="str">
        <f>'12H'!B14</f>
        <v>2:00-3:00</v>
      </c>
      <c r="D13" s="85"/>
      <c r="E13" s="82" t="str">
        <f>'12H'!C14</f>
        <v/>
      </c>
      <c r="F13" s="101">
        <f>'12H'!D14</f>
        <v>0</v>
      </c>
      <c r="G13" s="101">
        <f>'12H'!E14</f>
        <v>0</v>
      </c>
      <c r="H13" s="83"/>
      <c r="I13" s="145"/>
      <c r="J13" s="146"/>
      <c r="K13" s="84"/>
    </row>
    <row r="14" spans="3:11" ht="36.6" x14ac:dyDescent="0.3">
      <c r="C14" s="100" t="str">
        <f>'12H'!B15</f>
        <v>3:00-4:00</v>
      </c>
      <c r="D14" s="85"/>
      <c r="E14" s="82" t="str">
        <f>'12H'!C15</f>
        <v/>
      </c>
      <c r="F14" s="101">
        <f>'12H'!D15</f>
        <v>0</v>
      </c>
      <c r="G14" s="101">
        <f>'12H'!E15</f>
        <v>0</v>
      </c>
      <c r="H14" s="83"/>
      <c r="I14" s="147"/>
      <c r="J14" s="148"/>
      <c r="K14" s="84"/>
    </row>
    <row r="15" spans="3:11" ht="36.6" x14ac:dyDescent="0.3">
      <c r="C15" s="100" t="str">
        <f>'12H'!B16</f>
        <v>4:00-5:00</v>
      </c>
      <c r="D15" s="85"/>
      <c r="E15" s="82" t="str">
        <f>'12H'!C16</f>
        <v/>
      </c>
      <c r="F15" s="101">
        <f>'12H'!D16</f>
        <v>0</v>
      </c>
      <c r="G15" s="101">
        <f>'12H'!E16</f>
        <v>0</v>
      </c>
      <c r="H15" s="83"/>
      <c r="I15" s="147"/>
      <c r="J15" s="148"/>
      <c r="K15" s="84"/>
    </row>
    <row r="16" spans="3:11" ht="36.6" x14ac:dyDescent="0.3">
      <c r="C16" s="100" t="str">
        <f>'12H'!B17</f>
        <v>5:00-6:00</v>
      </c>
      <c r="D16" s="85"/>
      <c r="E16" s="82" t="str">
        <f>'12H'!C17</f>
        <v/>
      </c>
      <c r="F16" s="101">
        <f>'12H'!D17</f>
        <v>0</v>
      </c>
      <c r="G16" s="101">
        <f>'12H'!E17</f>
        <v>0</v>
      </c>
      <c r="H16" s="83"/>
      <c r="I16" s="147"/>
      <c r="J16" s="148"/>
      <c r="K16" s="84"/>
    </row>
    <row r="17" spans="3:10" ht="60" customHeight="1" x14ac:dyDescent="0.3">
      <c r="C17" s="135" t="s">
        <v>117</v>
      </c>
      <c r="D17" s="135"/>
      <c r="E17" s="135"/>
      <c r="F17" s="82" t="str">
        <f>'12H'!B22</f>
        <v/>
      </c>
      <c r="G17" s="86" t="str">
        <f>'12H'!C22</f>
        <v/>
      </c>
      <c r="H17" s="86"/>
      <c r="I17" s="103" t="s">
        <v>126</v>
      </c>
      <c r="J17" s="102" t="str">
        <f>'12H'!D22</f>
        <v/>
      </c>
    </row>
  </sheetData>
  <mergeCells count="15">
    <mergeCell ref="I8:J8"/>
    <mergeCell ref="C2:H3"/>
    <mergeCell ref="I4:J4"/>
    <mergeCell ref="I5:J5"/>
    <mergeCell ref="I6:J6"/>
    <mergeCell ref="I7:J7"/>
    <mergeCell ref="I9:J9"/>
    <mergeCell ref="I10:J10"/>
    <mergeCell ref="I11:J11"/>
    <mergeCell ref="I12:J12"/>
    <mergeCell ref="C17:E17"/>
    <mergeCell ref="I13:J13"/>
    <mergeCell ref="I14:J14"/>
    <mergeCell ref="I15:J15"/>
    <mergeCell ref="I16:J16"/>
  </mergeCells>
  <pageMargins left="0.25" right="0.25" top="0.75" bottom="0.75" header="0.3" footer="0.3"/>
  <pageSetup paperSize="9"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4 d 1 2 c b - c b 1 5 - 4 e a c - 8 2 c 8 - 7 4 9 3 7 7 e 3 3 d 1 5 "   x m l n s = " h t t p : / / s c h e m a s . m i c r o s o f t . c o m / D a t a M a s h u p " > A A A A A C 0 E A A B Q S w M E F A A C A A g A 4 K o I V W x c p M O o A A A A + A A A A B I A H A B D b 2 5 m a W c v U G F j a 2 F n Z S 5 4 b W w g o h g A K K A U A A A A A A A A A A A A A A A A A A A A A A A A A A A A h Y 9 B D o I w F E S v Q r q n p V W J k k 9 Z u F Q S E x L j t o E K D V A M L Z a 7 u f B I X k E S R d 2 5 n M m b 5 M 3 j d o d k b B v v K n u j O h 0 j i g P k S Z 1 3 h d J l j A Z 7 9 t c o 4 X A Q e S 1 K 6 U 2 w N t F o V I w q a y 8 R I c 4 5 7 B a 4 6 0 v C g o C S U 7 r P 8 k q 2 w l f a W K F z i T 6 r 4 v 8 K c T i + Z D j D I c U r u m F 4 G V I g c w 2 p 0 l + E T c Y 4 A P J T w n Z o 7 N B L b m o / 2 w G Z I 5 D 3 C / 4 E U E s D B B Q A A g A I A O C q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q g h V n b j 9 + y M B A A D v A g A A E w A c A E Z v c m 1 1 b G F z L 1 N l Y 3 R p b 2 4 x L m 0 g o h g A K K A U A A A A A A A A A A A A A A A A A A A A A A A A A A A A x Z D B S s N A E I b v g b 7 D s r 0 0 k A Z a V E T J o d T W B H s o t C D Y F N k m I 4 2 d 7 s D u p k b F u x c f w t c Q P N W + l 5 u 2 e h B F D 6 J 7 m V 3 m n / m / / T U k J i P J B p v a O K w 4 F U d P h Y K U V X k r N 3 Q k j K h 3 o 1 6 P s 4 A h G I f Z c 5 Y q u r T v T p E A + q e k Z h O i W a 2 b I f h t k g a k 0 T X e P o g j e 8 d 4 Z 3 c v 7 t s J a 1 K X c B W / 7 f U L 1 A V 3 P S Z z R I 8 Z l Y P r r Q 3 K b q m 6 y B D 3 w / P B F M B Y v 7 X v 7 S g y M A 8 + 0 H k n m U w D v l b y 8 d 2 o 7 I w 3 y 6 o 8 R L H I X h 5 m 1 0 w T u 1 k s n 1 e P I C l n y y d F i 9 U 9 5 e X n h m J i 8 S 3 n n A y E I F J Q u v Y Z i M d G W 1 U L c Z A I F E o H J f z Y d T L 5 Y 8 s v s u 5 3 h t F x 8 9 / S b j S / i 3 s L + A e B v 7 P 8 V u K v U E s B A i 0 A F A A C A A g A 4 K o I V W x c p M O o A A A A + A A A A B I A A A A A A A A A A A A A A A A A A A A A A E N v b m Z p Z y 9 Q Y W N r Y W d l L n h t b F B L A Q I t A B Q A A g A I A O C q C F U P y u m r p A A A A O k A A A A T A A A A A A A A A A A A A A A A A P Q A A A B b Q 2 9 u d G V u d F 9 U e X B l c 1 0 u e G 1 s U E s B A i 0 A F A A C A A g A 4 K o I V Z 2 4 / f s j A Q A A 7 w I A A B M A A A A A A A A A A A A A A A A A 5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U A A A A A A A B y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V 0 b 0 R h d G E t R k l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F 1 d G 9 E Y X R h X 0 Z J T E w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w 6 F y b 2 s 0 I i A v P j x F b n R y e S B U e X B l P S J G a W x s U 3 R h d H V z I i B W Y W x 1 Z T 0 i c 0 N v b X B s Z X R l I i A v P j x F b n R y e S B U e X B l P S J G a W x s Q 2 9 s d W 1 u T m F t Z X M i I F Z h b H V l P S J z W y Z x d W 9 0 O 1 R p b W V G b G F n J n F 1 b 3 Q 7 L C Z x d W 9 0 O 1 R p b W V T Z W 5 k J n F 1 b 3 Q 7 L C Z x d W 9 0 O 0 9 F R S Z x d W 9 0 O y w m c X V v d D t P S y Z x d W 9 0 O y w m c X V v d D t O T 0 s m c X V v d D s s J n F 1 b 3 Q 7 U H J v Z H V j d C Z x d W 9 0 O y w m c X V v d D t T Y 3 J h c C Z x d W 9 0 O y w m c X V v d D t O b 3 J t J n F 1 b 3 Q 7 L C Z x d W 9 0 O 0 N v b H V t b j k m c X V v d D s s J n F 1 b 3 Q 7 T 1 A x J n F 1 b 3 Q 7 L C Z x d W 9 0 O 0 9 Q M i Z x d W 9 0 O y w m c X V v d D t P U D M m c X V v d D s s J n F 1 b 3 Q 7 T W F j a G l u Z S Z x d W 9 0 O y w m c X V v d D t D b 2 x 1 b W 4 x N C Z x d W 9 0 O y w m c X V v d D t T a G l m d E N o Z W N r J n F 1 b 3 Q 7 L C Z x d W 9 0 O 0 R h d G U g M X N 0 I H R p b W U m c X V v d D t d I i A v P j x F b n R y e S B U e X B l P S J G a W x s Q 2 9 s d W 1 u V H l w Z X M i I F Z h b H V l P S J z Q U F B Q U F B Q U F B Q U F B Q U F B Q U F B Q U F B Q T 0 9 I i A v P j x F b n R y e S B U e X B l P S J G a W x s T G F z d F V w Z G F 0 Z W Q i I F Z h b H V l P S J k M j A y M i 0 w O C 0 w O F Q x O T o y M z o w M S 4 y N j g x N T k x W i I g L z 4 8 R W 5 0 c n k g V H l w Z T 0 i R m l s b E V y c m 9 y Q 2 9 1 b n Q i I F Z h b H V l P S J s M C I g L z 4 8 R W 5 0 c n k g V H l w Z T 0 i U X V l c n l J R C I g V m F s d W U 9 I n M y Y z E w N T Q 2 O C 1 i M D F m L T R i M z Q t Y T A 5 Z S 1 h O T U 3 M j V h M W Q 1 M W Q i I C 8 + P E V u d H J 5 I F R 5 c G U 9 I k 5 h d m l n Y X R p b 2 5 T d G V w T m F t Z S I g V m F s d W U 9 I n N O Y X Z p Z 8 O h Y 2 l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R G F 0 Y S 1 G S U x M L 0 R h d G F B d X R v Z m l s b D h I X 1 N o Z W V 0 L n t D b 2 x 1 b W 4 x L D B 9 J n F 1 b 3 Q 7 L C Z x d W 9 0 O 1 N l Y 3 R p b 2 4 x L 0 F 1 d G 9 E Y X R h L U Z J T E w v R G F 0 Y U F 1 d G 9 m a W x s O E h f U 2 h l Z X Q u e 0 N v b H V t b j I s M X 0 m c X V v d D s s J n F 1 b 3 Q 7 U 2 V j d G l v b j E v Q X V 0 b 0 R h d G E t R k l M T C 9 E Y X R h Q X V 0 b 2 Z p b G w 4 S F 9 T a G V l d C 5 7 Q 2 9 s d W 1 u M y w y f S Z x d W 9 0 O y w m c X V v d D t T Z W N 0 a W 9 u M S 9 B d X R v R G F 0 Y S 1 G S U x M L 0 R h d G F B d X R v Z m l s b D h I X 1 N o Z W V 0 L n t D b 2 x 1 b W 4 0 L D N 9 J n F 1 b 3 Q 7 L C Z x d W 9 0 O 1 N l Y 3 R p b 2 4 x L 0 F 1 d G 9 E Y X R h L U Z J T E w v R G F 0 Y U F 1 d G 9 m a W x s O E h f U 2 h l Z X Q u e 0 N v b H V t b j U s N H 0 m c X V v d D s s J n F 1 b 3 Q 7 U 2 V j d G l v b j E v Q X V 0 b 0 R h d G E t R k l M T C 9 E Y X R h Q X V 0 b 2 Z p b G w 4 S F 9 T a G V l d C 5 7 Q 2 9 s d W 1 u N i w 1 f S Z x d W 9 0 O y w m c X V v d D t T Z W N 0 a W 9 u M S 9 B d X R v R G F 0 Y S 1 G S U x M L 0 R h d G F B d X R v Z m l s b D h I X 1 N o Z W V 0 L n t D b 2 x 1 b W 4 3 L D Z 9 J n F 1 b 3 Q 7 L C Z x d W 9 0 O 1 N l Y 3 R p b 2 4 x L 0 F 1 d G 9 E Y X R h L U Z J T E w v R G F 0 Y U F 1 d G 9 m a W x s O E h f U 2 h l Z X Q u e 0 N v b H V t b j g s N 3 0 m c X V v d D s s J n F 1 b 3 Q 7 U 2 V j d G l v b j E v Q X V 0 b 0 R h d G E t R k l M T C 9 E Y X R h Q X V 0 b 2 Z p b G w 4 S F 9 T a G V l d C 5 7 Q 2 9 s d W 1 u O S w 4 f S Z x d W 9 0 O y w m c X V v d D t T Z W N 0 a W 9 u M S 9 B d X R v R G F 0 Y S 1 G S U x M L 0 R h d G F B d X R v Z m l s b D h I X 1 N o Z W V 0 L n t D b 2 x 1 b W 4 x M C w 5 f S Z x d W 9 0 O y w m c X V v d D t T Z W N 0 a W 9 u M S 9 B d X R v R G F 0 Y S 1 G S U x M L 0 R h d G F B d X R v Z m l s b D h I X 1 N o Z W V 0 L n t D b 2 x 1 b W 4 x M S w x M H 0 m c X V v d D s s J n F 1 b 3 Q 7 U 2 V j d G l v b j E v Q X V 0 b 0 R h d G E t R k l M T C 9 E Y X R h Q X V 0 b 2 Z p b G w 4 S F 9 T a G V l d C 5 7 Q 2 9 s d W 1 u M T I s M T F 9 J n F 1 b 3 Q 7 L C Z x d W 9 0 O 1 N l Y 3 R p b 2 4 x L 0 F 1 d G 9 E Y X R h L U Z J T E w v R G F 0 Y U F 1 d G 9 m a W x s O E h f U 2 h l Z X Q u e 0 N v b H V t b j E z L D E y f S Z x d W 9 0 O y w m c X V v d D t T Z W N 0 a W 9 u M S 9 B d X R v R G F 0 Y S 1 G S U x M L 0 R h d G F B d X R v Z m l s b D h I X 1 N o Z W V 0 L n t D b 2 x 1 b W 4 x N C w x M 3 0 m c X V v d D s s J n F 1 b 3 Q 7 U 2 V j d G l v b j E v Q X V 0 b 0 R h d G E t R k l M T C 9 E Y X R h Q X V 0 b 2 Z p b G w 4 S F 9 T a G V l d C 5 7 Q 2 9 s d W 1 u M T U s M T R 9 J n F 1 b 3 Q 7 L C Z x d W 9 0 O 1 N l Y 3 R p b 2 4 x L 0 F 1 d G 9 E Y X R h L U Z J T E w v R G F 0 Y U F 1 d G 9 m a W x s O E h f U 2 h l Z X Q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V 0 b 0 R h d G E t R k l M T C 9 E Y X R h Q X V 0 b 2 Z p b G w 4 S F 9 T a G V l d C 5 7 Q 2 9 s d W 1 u M S w w f S Z x d W 9 0 O y w m c X V v d D t T Z W N 0 a W 9 u M S 9 B d X R v R G F 0 Y S 1 G S U x M L 0 R h d G F B d X R v Z m l s b D h I X 1 N o Z W V 0 L n t D b 2 x 1 b W 4 y L D F 9 J n F 1 b 3 Q 7 L C Z x d W 9 0 O 1 N l Y 3 R p b 2 4 x L 0 F 1 d G 9 E Y X R h L U Z J T E w v R G F 0 Y U F 1 d G 9 m a W x s O E h f U 2 h l Z X Q u e 0 N v b H V t b j M s M n 0 m c X V v d D s s J n F 1 b 3 Q 7 U 2 V j d G l v b j E v Q X V 0 b 0 R h d G E t R k l M T C 9 E Y X R h Q X V 0 b 2 Z p b G w 4 S F 9 T a G V l d C 5 7 Q 2 9 s d W 1 u N C w z f S Z x d W 9 0 O y w m c X V v d D t T Z W N 0 a W 9 u M S 9 B d X R v R G F 0 Y S 1 G S U x M L 0 R h d G F B d X R v Z m l s b D h I X 1 N o Z W V 0 L n t D b 2 x 1 b W 4 1 L D R 9 J n F 1 b 3 Q 7 L C Z x d W 9 0 O 1 N l Y 3 R p b 2 4 x L 0 F 1 d G 9 E Y X R h L U Z J T E w v R G F 0 Y U F 1 d G 9 m a W x s O E h f U 2 h l Z X Q u e 0 N v b H V t b j Y s N X 0 m c X V v d D s s J n F 1 b 3 Q 7 U 2 V j d G l v b j E v Q X V 0 b 0 R h d G E t R k l M T C 9 E Y X R h Q X V 0 b 2 Z p b G w 4 S F 9 T a G V l d C 5 7 Q 2 9 s d W 1 u N y w 2 f S Z x d W 9 0 O y w m c X V v d D t T Z W N 0 a W 9 u M S 9 B d X R v R G F 0 Y S 1 G S U x M L 0 R h d G F B d X R v Z m l s b D h I X 1 N o Z W V 0 L n t D b 2 x 1 b W 4 4 L D d 9 J n F 1 b 3 Q 7 L C Z x d W 9 0 O 1 N l Y 3 R p b 2 4 x L 0 F 1 d G 9 E Y X R h L U Z J T E w v R G F 0 Y U F 1 d G 9 m a W x s O E h f U 2 h l Z X Q u e 0 N v b H V t b j k s O H 0 m c X V v d D s s J n F 1 b 3 Q 7 U 2 V j d G l v b j E v Q X V 0 b 0 R h d G E t R k l M T C 9 E Y X R h Q X V 0 b 2 Z p b G w 4 S F 9 T a G V l d C 5 7 Q 2 9 s d W 1 u M T A s O X 0 m c X V v d D s s J n F 1 b 3 Q 7 U 2 V j d G l v b j E v Q X V 0 b 0 R h d G E t R k l M T C 9 E Y X R h Q X V 0 b 2 Z p b G w 4 S F 9 T a G V l d C 5 7 Q 2 9 s d W 1 u M T E s M T B 9 J n F 1 b 3 Q 7 L C Z x d W 9 0 O 1 N l Y 3 R p b 2 4 x L 0 F 1 d G 9 E Y X R h L U Z J T E w v R G F 0 Y U F 1 d G 9 m a W x s O E h f U 2 h l Z X Q u e 0 N v b H V t b j E y L D E x f S Z x d W 9 0 O y w m c X V v d D t T Z W N 0 a W 9 u M S 9 B d X R v R G F 0 Y S 1 G S U x M L 0 R h d G F B d X R v Z m l s b D h I X 1 N o Z W V 0 L n t D b 2 x 1 b W 4 x M y w x M n 0 m c X V v d D s s J n F 1 b 3 Q 7 U 2 V j d G l v b j E v Q X V 0 b 0 R h d G E t R k l M T C 9 E Y X R h Q X V 0 b 2 Z p b G w 4 S F 9 T a G V l d C 5 7 Q 2 9 s d W 1 u M T Q s M T N 9 J n F 1 b 3 Q 7 L C Z x d W 9 0 O 1 N l Y 3 R p b 2 4 x L 0 F 1 d G 9 E Y X R h L U Z J T E w v R G F 0 Y U F 1 d G 9 m a W x s O E h f U 2 h l Z X Q u e 0 N v b H V t b j E 1 L D E 0 f S Z x d W 9 0 O y w m c X V v d D t T Z W N 0 a W 9 u M S 9 B d X R v R G F 0 Y S 1 G S U x M L 0 R h d G F B d X R v Z m l s b D h I X 1 N o Z W V 0 L n t D b 2 x 1 b W 4 x N i w x N X 0 m c X V v d D t d L C Z x d W 9 0 O 1 J l b G F 0 a W 9 u c 2 h p c E l u Z m 8 m c X V v d D s 6 W 1 1 9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d X R v R G F 0 Y S 1 G S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0 R h d G E t R k l M T C 9 E Y X R h Q X V 0 b 2 Z p b G w 4 S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E Y X R h L V B F V E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1 d G 9 E Y X R h X 1 B F V E l H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j D o X J v a z U i I C 8 + P E V u d H J 5 I F R 5 c G U 9 I k Z p b G x T d G F 0 d X M i I F Z h b H V l P S J z Q 2 9 t c G x l d G U i I C 8 + P E V u d H J 5 I F R 5 c G U 9 I k Z p b G x D b 2 x 1 b W 5 O Y W 1 l c y I g V m F s d W U 9 I n N b J n F 1 b 3 Q 7 V G l t Z U Z s Y W c m c X V v d D s s J n F 1 b 3 Q 7 V G l t Z V N l b m Q m c X V v d D s s J n F 1 b 3 Q 7 T 0 V F J n F 1 b 3 Q 7 L C Z x d W 9 0 O 0 9 L J n F 1 b 3 Q 7 L C Z x d W 9 0 O 0 5 P S y Z x d W 9 0 O y w m c X V v d D t Q c m 9 k d W N 0 J n F 1 b 3 Q 7 L C Z x d W 9 0 O 1 N j c m F w J n F 1 b 3 Q 7 L C Z x d W 9 0 O 0 5 v c m 0 m c X V v d D s s J n F 1 b 3 Q 7 Q 2 9 s d W 1 u O S Z x d W 9 0 O y w m c X V v d D t P U D E m c X V v d D s s J n F 1 b 3 Q 7 T 1 A y J n F 1 b 3 Q 7 L C Z x d W 9 0 O 0 9 Q M y Z x d W 9 0 O y w m c X V v d D t N Y W N o a W 5 l J n F 1 b 3 Q 7 L C Z x d W 9 0 O 0 N v b H V t b j E 0 J n F 1 b 3 Q 7 L C Z x d W 9 0 O 1 N o a W Z 0 Q 2 h l Y 2 s m c X V v d D s s J n F 1 b 3 Q 7 R G F 0 Z S A x c 3 Q g d G l t Z S Z x d W 9 0 O 1 0 i I C 8 + P E V u d H J 5 I F R 5 c G U 9 I k Z p b G x D b 2 x 1 b W 5 U e X B l c y I g V m F s d W U 9 I n N B Q U F B Q U F B Q U F B Q U F B Q U F B Q U F B Q U F B P T 0 i I C 8 + P E V u d H J 5 I F R 5 c G U 9 I k Z p b G x M Y X N 0 V X B k Y X R l Z C I g V m F s d W U 9 I m Q y M D I y L T A 4 L T A 4 V D E 5 O j I z O j A x L j I 0 N z I 3 M D Z a I i A v P j x F b n R y e S B U e X B l P S J G a W x s R X J y b 3 J D b 3 V u d C I g V m F s d W U 9 I m w w I i A v P j x F b n R y e S B U e X B l P S J R d W V y e U l E I i B W Y W x 1 Z T 0 i c z J j O D I w Y z Q 2 L T A 1 O T Y t N D N k M C 1 i M D Y 2 L T N i Z G I 3 Z T c 5 N j N m Z C I g L z 4 8 R W 5 0 c n k g V H l w Z T 0 i T m F 2 a W d h d G l v b l N 0 Z X B O Y W 1 l I i B W Y W x 1 Z T 0 i c 0 5 h d m l n w 6 F j a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E Y X R h L V B F V E l H M i 9 E Y X R h Q X V 0 b 2 Z p b G w x M k h f U 2 h l Z X Q u e 0 N v b H V t b j E s M H 0 m c X V v d D s s J n F 1 b 3 Q 7 U 2 V j d G l v b j E v Q X V 0 b 0 R h d G E t U E V U S U c y L 0 R h d G F B d X R v Z m l s b D E y S F 9 T a G V l d C 5 7 Q 2 9 s d W 1 u M i w x f S Z x d W 9 0 O y w m c X V v d D t T Z W N 0 a W 9 u M S 9 B d X R v R G F 0 Y S 1 Q R V R J R z I v R G F 0 Y U F 1 d G 9 m a W x s M T J I X 1 N o Z W V 0 L n t D b 2 x 1 b W 4 z L D J 9 J n F 1 b 3 Q 7 L C Z x d W 9 0 O 1 N l Y 3 R p b 2 4 x L 0 F 1 d G 9 E Y X R h L V B F V E l H M i 9 E Y X R h Q X V 0 b 2 Z p b G w x M k h f U 2 h l Z X Q u e 0 N v b H V t b j Q s M 3 0 m c X V v d D s s J n F 1 b 3 Q 7 U 2 V j d G l v b j E v Q X V 0 b 0 R h d G E t U E V U S U c y L 0 R h d G F B d X R v Z m l s b D E y S F 9 T a G V l d C 5 7 Q 2 9 s d W 1 u N S w 0 f S Z x d W 9 0 O y w m c X V v d D t T Z W N 0 a W 9 u M S 9 B d X R v R G F 0 Y S 1 Q R V R J R z I v R G F 0 Y U F 1 d G 9 m a W x s M T J I X 1 N o Z W V 0 L n t D b 2 x 1 b W 4 2 L D V 9 J n F 1 b 3 Q 7 L C Z x d W 9 0 O 1 N l Y 3 R p b 2 4 x L 0 F 1 d G 9 E Y X R h L V B F V E l H M i 9 E Y X R h Q X V 0 b 2 Z p b G w x M k h f U 2 h l Z X Q u e 0 N v b H V t b j c s N n 0 m c X V v d D s s J n F 1 b 3 Q 7 U 2 V j d G l v b j E v Q X V 0 b 0 R h d G E t U E V U S U c y L 0 R h d G F B d X R v Z m l s b D E y S F 9 T a G V l d C 5 7 Q 2 9 s d W 1 u O C w 3 f S Z x d W 9 0 O y w m c X V v d D t T Z W N 0 a W 9 u M S 9 B d X R v R G F 0 Y S 1 Q R V R J R z I v R G F 0 Y U F 1 d G 9 m a W x s M T J I X 1 N o Z W V 0 L n t D b 2 x 1 b W 4 5 L D h 9 J n F 1 b 3 Q 7 L C Z x d W 9 0 O 1 N l Y 3 R p b 2 4 x L 0 F 1 d G 9 E Y X R h L V B F V E l H M i 9 E Y X R h Q X V 0 b 2 Z p b G w x M k h f U 2 h l Z X Q u e 0 N v b H V t b j E w L D l 9 J n F 1 b 3 Q 7 L C Z x d W 9 0 O 1 N l Y 3 R p b 2 4 x L 0 F 1 d G 9 E Y X R h L V B F V E l H M i 9 E Y X R h Q X V 0 b 2 Z p b G w x M k h f U 2 h l Z X Q u e 0 N v b H V t b j E x L D E w f S Z x d W 9 0 O y w m c X V v d D t T Z W N 0 a W 9 u M S 9 B d X R v R G F 0 Y S 1 Q R V R J R z I v R G F 0 Y U F 1 d G 9 m a W x s M T J I X 1 N o Z W V 0 L n t D b 2 x 1 b W 4 x M i w x M X 0 m c X V v d D s s J n F 1 b 3 Q 7 U 2 V j d G l v b j E v Q X V 0 b 0 R h d G E t U E V U S U c y L 0 R h d G F B d X R v Z m l s b D E y S F 9 T a G V l d C 5 7 Q 2 9 s d W 1 u M T M s M T J 9 J n F 1 b 3 Q 7 L C Z x d W 9 0 O 1 N l Y 3 R p b 2 4 x L 0 F 1 d G 9 E Y X R h L V B F V E l H M i 9 E Y X R h Q X V 0 b 2 Z p b G w x M k h f U 2 h l Z X Q u e 0 N v b H V t b j E 0 L D E z f S Z x d W 9 0 O y w m c X V v d D t T Z W N 0 a W 9 u M S 9 B d X R v R G F 0 Y S 1 Q R V R J R z I v R G F 0 Y U F 1 d G 9 m a W x s M T J I X 1 N o Z W V 0 L n t D b 2 x 1 b W 4 x N S w x N H 0 m c X V v d D s s J n F 1 b 3 Q 7 U 2 V j d G l v b j E v Q X V 0 b 0 R h d G E t U E V U S U c y L 0 R h d G F B d X R v Z m l s b D E y S F 9 T a G V l d C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d X R v R G F 0 Y S 1 Q R V R J R z I v R G F 0 Y U F 1 d G 9 m a W x s M T J I X 1 N o Z W V 0 L n t D b 2 x 1 b W 4 x L D B 9 J n F 1 b 3 Q 7 L C Z x d W 9 0 O 1 N l Y 3 R p b 2 4 x L 0 F 1 d G 9 E Y X R h L V B F V E l H M i 9 E Y X R h Q X V 0 b 2 Z p b G w x M k h f U 2 h l Z X Q u e 0 N v b H V t b j I s M X 0 m c X V v d D s s J n F 1 b 3 Q 7 U 2 V j d G l v b j E v Q X V 0 b 0 R h d G E t U E V U S U c y L 0 R h d G F B d X R v Z m l s b D E y S F 9 T a G V l d C 5 7 Q 2 9 s d W 1 u M y w y f S Z x d W 9 0 O y w m c X V v d D t T Z W N 0 a W 9 u M S 9 B d X R v R G F 0 Y S 1 Q R V R J R z I v R G F 0 Y U F 1 d G 9 m a W x s M T J I X 1 N o Z W V 0 L n t D b 2 x 1 b W 4 0 L D N 9 J n F 1 b 3 Q 7 L C Z x d W 9 0 O 1 N l Y 3 R p b 2 4 x L 0 F 1 d G 9 E Y X R h L V B F V E l H M i 9 E Y X R h Q X V 0 b 2 Z p b G w x M k h f U 2 h l Z X Q u e 0 N v b H V t b j U s N H 0 m c X V v d D s s J n F 1 b 3 Q 7 U 2 V j d G l v b j E v Q X V 0 b 0 R h d G E t U E V U S U c y L 0 R h d G F B d X R v Z m l s b D E y S F 9 T a G V l d C 5 7 Q 2 9 s d W 1 u N i w 1 f S Z x d W 9 0 O y w m c X V v d D t T Z W N 0 a W 9 u M S 9 B d X R v R G F 0 Y S 1 Q R V R J R z I v R G F 0 Y U F 1 d G 9 m a W x s M T J I X 1 N o Z W V 0 L n t D b 2 x 1 b W 4 3 L D Z 9 J n F 1 b 3 Q 7 L C Z x d W 9 0 O 1 N l Y 3 R p b 2 4 x L 0 F 1 d G 9 E Y X R h L V B F V E l H M i 9 E Y X R h Q X V 0 b 2 Z p b G w x M k h f U 2 h l Z X Q u e 0 N v b H V t b j g s N 3 0 m c X V v d D s s J n F 1 b 3 Q 7 U 2 V j d G l v b j E v Q X V 0 b 0 R h d G E t U E V U S U c y L 0 R h d G F B d X R v Z m l s b D E y S F 9 T a G V l d C 5 7 Q 2 9 s d W 1 u O S w 4 f S Z x d W 9 0 O y w m c X V v d D t T Z W N 0 a W 9 u M S 9 B d X R v R G F 0 Y S 1 Q R V R J R z I v R G F 0 Y U F 1 d G 9 m a W x s M T J I X 1 N o Z W V 0 L n t D b 2 x 1 b W 4 x M C w 5 f S Z x d W 9 0 O y w m c X V v d D t T Z W N 0 a W 9 u M S 9 B d X R v R G F 0 Y S 1 Q R V R J R z I v R G F 0 Y U F 1 d G 9 m a W x s M T J I X 1 N o Z W V 0 L n t D b 2 x 1 b W 4 x M S w x M H 0 m c X V v d D s s J n F 1 b 3 Q 7 U 2 V j d G l v b j E v Q X V 0 b 0 R h d G E t U E V U S U c y L 0 R h d G F B d X R v Z m l s b D E y S F 9 T a G V l d C 5 7 Q 2 9 s d W 1 u M T I s M T F 9 J n F 1 b 3 Q 7 L C Z x d W 9 0 O 1 N l Y 3 R p b 2 4 x L 0 F 1 d G 9 E Y X R h L V B F V E l H M i 9 E Y X R h Q X V 0 b 2 Z p b G w x M k h f U 2 h l Z X Q u e 0 N v b H V t b j E z L D E y f S Z x d W 9 0 O y w m c X V v d D t T Z W N 0 a W 9 u M S 9 B d X R v R G F 0 Y S 1 Q R V R J R z I v R G F 0 Y U F 1 d G 9 m a W x s M T J I X 1 N o Z W V 0 L n t D b 2 x 1 b W 4 x N C w x M 3 0 m c X V v d D s s J n F 1 b 3 Q 7 U 2 V j d G l v b j E v Q X V 0 b 0 R h d G E t U E V U S U c y L 0 R h d G F B d X R v Z m l s b D E y S F 9 T a G V l d C 5 7 Q 2 9 s d W 1 u M T U s M T R 9 J n F 1 b 3 Q 7 L C Z x d W 9 0 O 1 N l Y 3 R p b 2 4 x L 0 F 1 d G 9 E Y X R h L V B F V E l H M i 9 E Y X R h Q X V 0 b 2 Z p b G w x M k h f U 2 h l Z X Q u e 0 N v b H V t b j E 2 L D E 1 f S Z x d W 9 0 O 1 0 s J n F 1 b 3 Q 7 U m V s Y X R p b 2 5 z a G l w S W 5 m b y Z x d W 9 0 O z p b X X 0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1 d G 9 E Y X R h L V B F V E l H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E Y X R h L V B F V E l H M i 9 E Y X R h Q X V 0 b 2 Z p b G w x M k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R G F 0 Y S 1 G S U x M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0 R h d G E t U E V U S U c y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u m i I b g z X B G r w b c 7 M e D 6 w g A A A A A A g A A A A A A A 2 Y A A M A A A A A Q A A A A x e 9 R u n S o q i z I 0 H H L / I m 3 l g A A A A A E g A A A o A A A A B A A A A C 2 U 9 o Q j y I + B w s 3 Z a m s x j N z U A A A A I P V O p H q F z S 7 o O 0 C Q W Q f 0 d 2 1 e j z A h I W 4 e S 8 r J 5 e G R x m d U i i p r d + 1 d N u P T L M W K x 7 y x 9 6 Y S s I 4 b A W 4 7 t t Y w i P m x I L d W X 9 v 0 7 I r 9 x 7 5 9 v Y T O F 5 7 F A A A A A B z Q 2 w E V P 9 T / o b 3 u 8 0 4 N W m v y h 4 m < / D a t a M a s h u p > 
</file>

<file path=customXml/itemProps1.xml><?xml version="1.0" encoding="utf-8"?>
<ds:datastoreItem xmlns:ds="http://schemas.openxmlformats.org/officeDocument/2006/customXml" ds:itemID="{F6B609D2-02A0-460A-8981-13D38B4CC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8</vt:i4>
      </vt:variant>
      <vt:variant>
        <vt:lpstr>Pomenované rozsahy</vt:lpstr>
      </vt:variant>
      <vt:variant>
        <vt:i4>2</vt:i4>
      </vt:variant>
    </vt:vector>
  </HeadingPairs>
  <TitlesOfParts>
    <vt:vector size="10" baseType="lpstr">
      <vt:lpstr>Changelog</vt:lpstr>
      <vt:lpstr>DataAutofill8H</vt:lpstr>
      <vt:lpstr>DataAutofill12H</vt:lpstr>
      <vt:lpstr>Data</vt:lpstr>
      <vt:lpstr>8H</vt:lpstr>
      <vt:lpstr>12H</vt:lpstr>
      <vt:lpstr>Hodinový výkon 8H</vt:lpstr>
      <vt:lpstr>Hodinový výkon 12H</vt:lpstr>
      <vt:lpstr>'Hodinový výkon 12H'!Oblasť_tlače</vt:lpstr>
      <vt:lpstr>'Hodinový výkon 8H'!Oblasť_tlače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Azor</dc:creator>
  <cp:lastModifiedBy>NSZ Montaz</cp:lastModifiedBy>
  <dcterms:created xsi:type="dcterms:W3CDTF">2022-07-20T22:53:23Z</dcterms:created>
  <dcterms:modified xsi:type="dcterms:W3CDTF">2022-08-08T19:23:03Z</dcterms:modified>
</cp:coreProperties>
</file>