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0C28FD0D-991C-44F4-A326-9FE609839F5F}" xr6:coauthVersionLast="47" xr6:coauthVersionMax="47" xr10:uidLastSave="{00000000-0000-0000-0000-000000000000}"/>
  <bookViews>
    <workbookView xWindow="-120" yWindow="-120" windowWidth="77040" windowHeight="2184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</sheets>
  <definedNames>
    <definedName name="_xlchart.v1.0" hidden="1">Model!$I$15:$I$18</definedName>
    <definedName name="_xlchart.v1.1" hidden="1">Model!$J$14</definedName>
    <definedName name="_xlchart.v1.2" hidden="1">Model!$J$15:$J$18</definedName>
    <definedName name="_xlchart.v1.3" hidden="1">Model!$K$14</definedName>
    <definedName name="_xlchart.v1.4" hidden="1">Model!$K$15:$K$18</definedName>
    <definedName name="_xlchart.v1.5" hidden="1">Model!$L$14</definedName>
    <definedName name="_xlchart.v1.6" hidden="1">Model!$L$15:$L$18</definedName>
    <definedName name="climb_angle">7.7</definedName>
    <definedName name="dP">1</definedName>
    <definedName name="flap_angle">10</definedName>
    <definedName name="flap_unit">Model!$D$16</definedName>
    <definedName name="ft_to_m">0.3048</definedName>
    <definedName name="g">9.806665</definedName>
    <definedName name="k_gear">0.0000449</definedName>
    <definedName name="maxmintom">65250 / 77000</definedName>
    <definedName name="mu">0.02</definedName>
    <definedName name="n">2</definedName>
    <definedName name="rho">1.225</definedName>
    <definedName name="rto">0</definedName>
    <definedName name="screen_height">35</definedName>
    <definedName name="solver_adj" localSheetId="2" hidden="1">Model!$X$2:$X$9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Model!$X$2:$X$9</definedName>
    <definedName name="solver_lhs10" localSheetId="2" hidden="1">Model!$X$2</definedName>
    <definedName name="solver_lhs2" localSheetId="2" hidden="1">Model!$X$2:$X$9</definedName>
    <definedName name="solver_lhs3" localSheetId="2" hidden="1">Model!$X$2:$X$9</definedName>
    <definedName name="solver_lhs4" localSheetId="2" hidden="1">Model!$X$2:$X$9</definedName>
    <definedName name="solver_lhs5" localSheetId="2" hidden="1">Model!$X$2</definedName>
    <definedName name="solver_lhs6" localSheetId="2" hidden="1">Model!$X$2</definedName>
    <definedName name="solver_lhs7" localSheetId="2" hidden="1">Model!$X$2</definedName>
    <definedName name="solver_lhs8" localSheetId="2" hidden="1">Model!$X$2</definedName>
    <definedName name="solver_lhs9" localSheetId="2" hidden="1">Model!$X$2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Model!$G$15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3</definedName>
    <definedName name="solver_rhs10" localSheetId="2" hidden="1">0</definedName>
    <definedName name="solver_rhs2" localSheetId="2" hidden="1">0</definedName>
    <definedName name="solver_rhs3" localSheetId="2" hidden="1">3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heta">0</definedName>
    <definedName name="tod_mul">1.15</definedName>
    <definedName name="Vs_to_Vlof">1.1</definedName>
    <definedName name="Vsnd">331.4396773</definedName>
    <definedName name="WingArea">Model!$D$15</definedName>
  </definedNames>
  <calcPr calcId="191029" iterate="1" iterateCount="300" iterateDelta="5.0000000000000001E-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7" i="2" l="1"/>
  <c r="F36" i="2"/>
  <c r="F35" i="2"/>
  <c r="F34" i="2"/>
  <c r="F33" i="2"/>
  <c r="F32" i="2"/>
  <c r="F31" i="2"/>
  <c r="F30" i="2"/>
  <c r="N44" i="2"/>
  <c r="N45" i="2"/>
  <c r="N46" i="2"/>
  <c r="N43" i="2"/>
  <c r="L46" i="2"/>
  <c r="M46" i="2" s="1"/>
  <c r="L45" i="2"/>
  <c r="M45" i="2" s="1"/>
  <c r="L44" i="2"/>
  <c r="M44" i="2" s="1"/>
  <c r="L43" i="2"/>
  <c r="M43" i="2" s="1"/>
  <c r="F44" i="2"/>
  <c r="F45" i="2"/>
  <c r="F46" i="2"/>
  <c r="F43" i="2"/>
  <c r="E44" i="2"/>
  <c r="E45" i="2"/>
  <c r="E46" i="2"/>
  <c r="E43" i="2"/>
  <c r="I44" i="2"/>
  <c r="J44" i="2" s="1"/>
  <c r="I45" i="2"/>
  <c r="J45" i="2" s="1"/>
  <c r="I46" i="2"/>
  <c r="J46" i="2" s="1"/>
  <c r="I43" i="2"/>
  <c r="J43" i="2" s="1"/>
  <c r="AJ23" i="2"/>
  <c r="AI23" i="2"/>
  <c r="FS2" i="2"/>
  <c r="FS3" i="2"/>
  <c r="FS4" i="2"/>
  <c r="FS5" i="2"/>
  <c r="FS6" i="2"/>
  <c r="FS7" i="2"/>
  <c r="FS8" i="2"/>
  <c r="FS9" i="2"/>
  <c r="AV36" i="2"/>
  <c r="AV28" i="2"/>
  <c r="AV30" i="2" s="1"/>
  <c r="AV31" i="2" s="1"/>
  <c r="AV20" i="2"/>
  <c r="AV23" i="2"/>
  <c r="AV22" i="2"/>
  <c r="Z2" i="2"/>
  <c r="FO9" i="2"/>
  <c r="FO2" i="2"/>
  <c r="FO3" i="2"/>
  <c r="FO4" i="2"/>
  <c r="FO5" i="2"/>
  <c r="FO6" i="2"/>
  <c r="FO7" i="2"/>
  <c r="FO8" i="2"/>
  <c r="P3" i="2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2" i="2" a="1"/>
  <c r="P2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Z3" i="2"/>
  <c r="Z4" i="2"/>
  <c r="Z5" i="2"/>
  <c r="Z6" i="2"/>
  <c r="Z7" i="2"/>
  <c r="Z8" i="2"/>
  <c r="Z9" i="2"/>
  <c r="FU8" i="2" a="1"/>
  <c r="FU8" i="2" s="1"/>
  <c r="FU3" i="2" a="1"/>
  <c r="FU3" i="2" s="1"/>
  <c r="FU5" i="2" a="1"/>
  <c r="FU5" i="2" s="1"/>
  <c r="FU7" i="2" a="1"/>
  <c r="FU7" i="2" s="1"/>
  <c r="FU9" i="2" a="1"/>
  <c r="FU9" i="2" s="1"/>
  <c r="AA3" i="2"/>
  <c r="AA4" i="2"/>
  <c r="AA5" i="2"/>
  <c r="AA6" i="2"/>
  <c r="AA7" i="2"/>
  <c r="AA8" i="2"/>
  <c r="AA9" i="2"/>
  <c r="L19" i="2"/>
  <c r="K19" i="2"/>
  <c r="J19" i="2"/>
  <c r="L16" i="2" a="1"/>
  <c r="L16" i="2" s="1"/>
  <c r="L17" i="2" a="1"/>
  <c r="L17" i="2" s="1"/>
  <c r="L18" i="2" a="1"/>
  <c r="L18" i="2" s="1"/>
  <c r="L15" i="2" a="1"/>
  <c r="L15" i="2" s="1"/>
  <c r="K16" i="2" a="1"/>
  <c r="K16" i="2" s="1"/>
  <c r="K17" i="2" a="1"/>
  <c r="K17" i="2" s="1"/>
  <c r="K18" i="2" a="1"/>
  <c r="K18" i="2" s="1"/>
  <c r="K15" i="2" a="1"/>
  <c r="K15" i="2" s="1"/>
  <c r="J16" i="2" a="1"/>
  <c r="J16" i="2" s="1"/>
  <c r="J17" i="2" a="1"/>
  <c r="J17" i="2" s="1"/>
  <c r="J18" i="2" a="1"/>
  <c r="J18" i="2" s="1"/>
  <c r="J15" i="2" a="1"/>
  <c r="J15" i="2" s="1"/>
  <c r="ES2" i="2"/>
  <c r="ES3" i="2"/>
  <c r="ES6" i="2"/>
  <c r="ES7" i="2"/>
  <c r="ES4" i="2"/>
  <c r="ES5" i="2"/>
  <c r="ES8" i="2"/>
  <c r="ES9" i="2"/>
  <c r="BY2" i="2"/>
  <c r="BY3" i="2"/>
  <c r="BY6" i="2"/>
  <c r="BY7" i="2"/>
  <c r="BY4" i="2"/>
  <c r="BY5" i="2"/>
  <c r="BY8" i="2"/>
  <c r="BY9" i="2"/>
  <c r="BX2" i="2"/>
  <c r="BX3" i="2"/>
  <c r="BX6" i="2"/>
  <c r="BX7" i="2"/>
  <c r="BX4" i="2"/>
  <c r="BX5" i="2"/>
  <c r="BX8" i="2"/>
  <c r="BX9" i="2"/>
  <c r="BW2" i="2"/>
  <c r="BW3" i="2"/>
  <c r="BW6" i="2"/>
  <c r="BW7" i="2"/>
  <c r="BW4" i="2"/>
  <c r="BW5" i="2"/>
  <c r="BW8" i="2"/>
  <c r="BW9" i="2"/>
  <c r="BB3" i="2"/>
  <c r="BB6" i="2"/>
  <c r="BB7" i="2"/>
  <c r="BB4" i="2"/>
  <c r="BB5" i="2"/>
  <c r="BB8" i="2"/>
  <c r="BB9" i="2"/>
  <c r="BL3" i="2"/>
  <c r="BL6" i="2"/>
  <c r="BL7" i="2"/>
  <c r="BL4" i="2"/>
  <c r="BL5" i="2"/>
  <c r="BL8" i="2"/>
  <c r="BL9" i="2"/>
  <c r="BL2" i="2"/>
  <c r="BB2" i="2"/>
  <c r="R3" i="2"/>
  <c r="R7" i="2"/>
  <c r="R5" i="2"/>
  <c r="R9" i="2"/>
  <c r="FU6" i="2" l="1" a="1"/>
  <c r="FU6" i="2" s="1"/>
  <c r="FT6" i="2" s="1"/>
  <c r="FR6" i="2" s="1"/>
  <c r="R6" i="2"/>
  <c r="FU2" i="2" a="1"/>
  <c r="FU2" i="2" s="1"/>
  <c r="FT2" i="2" s="1"/>
  <c r="FR2" i="2" s="1"/>
  <c r="R2" i="2"/>
  <c r="R8" i="2"/>
  <c r="FT9" i="2"/>
  <c r="FR9" i="2" s="1"/>
  <c r="FT8" i="2"/>
  <c r="FR8" i="2" s="1"/>
  <c r="FT7" i="2"/>
  <c r="FR7" i="2" s="1"/>
  <c r="FT5" i="2"/>
  <c r="FR5" i="2" s="1"/>
  <c r="FT3" i="2"/>
  <c r="FR3" i="2" s="1"/>
  <c r="AA2" i="2"/>
  <c r="BV3" i="2"/>
  <c r="BV6" i="2"/>
  <c r="BV7" i="2"/>
  <c r="BV4" i="2"/>
  <c r="BV5" i="2"/>
  <c r="BV8" i="2"/>
  <c r="BV9" i="2"/>
  <c r="FU4" i="2" a="1"/>
  <c r="FU4" i="2" s="1"/>
  <c r="FT4" i="2" s="1"/>
  <c r="FR4" i="2" s="1"/>
  <c r="T2" i="2"/>
  <c r="Y2" i="2" s="1"/>
  <c r="AB2" i="2" s="1"/>
  <c r="T3" i="2"/>
  <c r="Y3" i="2" s="1"/>
  <c r="AB3" i="2" s="1"/>
  <c r="T6" i="2"/>
  <c r="Y6" i="2" s="1"/>
  <c r="AB6" i="2" s="1"/>
  <c r="T7" i="2"/>
  <c r="T4" i="2"/>
  <c r="Y4" i="2" s="1"/>
  <c r="AB4" i="2" s="1"/>
  <c r="T5" i="2"/>
  <c r="T8" i="2"/>
  <c r="T9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R4" i="2" l="1"/>
  <c r="Y9" i="2"/>
  <c r="AB9" i="2" s="1"/>
  <c r="Y7" i="2"/>
  <c r="AB7" i="2" s="1"/>
  <c r="Y5" i="2"/>
  <c r="AB5" i="2" s="1"/>
  <c r="Y8" i="2"/>
  <c r="AB8" i="2" s="1"/>
  <c r="AC2" i="2"/>
  <c r="U9" i="2"/>
  <c r="U8" i="2"/>
  <c r="U5" i="2"/>
  <c r="U4" i="2"/>
  <c r="U7" i="2"/>
  <c r="U6" i="2"/>
  <c r="U3" i="2"/>
  <c r="U2" i="2"/>
  <c r="BZ6" i="2" a="1"/>
  <c r="BZ6" i="2" s="1"/>
  <c r="CJ6" i="2" s="1" a="1"/>
  <c r="CJ6" i="2" s="1"/>
  <c r="CT6" i="2" s="1"/>
  <c r="S5" i="2"/>
  <c r="S4" i="2"/>
  <c r="S7" i="2"/>
  <c r="S6" i="2"/>
  <c r="S3" i="2"/>
  <c r="S2" i="2"/>
  <c r="BZ3" i="2" a="1"/>
  <c r="BZ3" i="2" s="1"/>
  <c r="CJ3" i="2" s="1" a="1"/>
  <c r="CJ3" i="2" s="1"/>
  <c r="CT3" i="2" s="1"/>
  <c r="BV2" i="2"/>
  <c r="BZ2" i="2" s="1" a="1"/>
  <c r="BZ2" i="2" s="1"/>
  <c r="CJ2" i="2" s="1" a="1"/>
  <c r="CJ2" i="2" s="1"/>
  <c r="CT2" i="2" s="1"/>
  <c r="BZ8" i="2" a="1"/>
  <c r="BZ8" i="2" s="1"/>
  <c r="CJ8" i="2" s="1" a="1"/>
  <c r="CJ8" i="2" s="1"/>
  <c r="CT8" i="2" s="1"/>
  <c r="BZ4" i="2" a="1"/>
  <c r="BZ4" i="2" s="1"/>
  <c r="CJ4" i="2" s="1" a="1"/>
  <c r="CJ4" i="2" s="1"/>
  <c r="CT4" i="2" s="1"/>
  <c r="BZ7" i="2" a="1"/>
  <c r="BZ7" i="2" s="1"/>
  <c r="CJ7" i="2" s="1" a="1"/>
  <c r="CJ7" i="2" s="1"/>
  <c r="CT7" i="2" s="1"/>
  <c r="BZ5" i="2" a="1"/>
  <c r="BZ5" i="2" s="1"/>
  <c r="CJ5" i="2" s="1" a="1"/>
  <c r="CJ5" i="2" s="1"/>
  <c r="CT5" i="2" s="1"/>
  <c r="S9" i="2"/>
  <c r="BZ9" i="2" a="1"/>
  <c r="BZ9" i="2" s="1"/>
  <c r="CJ9" i="2" s="1" a="1"/>
  <c r="CJ9" i="2" s="1"/>
  <c r="CT9" i="2" s="1"/>
  <c r="S8" i="2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DD2" i="2" a="1"/>
  <c r="DD2" i="2" s="1"/>
  <c r="V2" i="2"/>
  <c r="AG2" i="2"/>
  <c r="AS2" i="2" s="1" a="1"/>
  <c r="AS2" i="2" s="1"/>
  <c r="W2" i="2" l="1"/>
  <c r="AD2" i="2" s="1"/>
  <c r="ET2" i="2"/>
  <c r="AT2" i="2" a="1"/>
  <c r="AT2" i="2" s="1"/>
  <c r="EU2" i="2" s="1"/>
  <c r="FC2" i="2"/>
  <c r="AI2" i="2" a="1"/>
  <c r="AI2" i="2" s="1"/>
  <c r="BC2" i="2" l="1"/>
  <c r="CA2" i="2" s="1" a="1"/>
  <c r="CA2" i="2" s="1"/>
  <c r="CK2" i="2" s="1" a="1"/>
  <c r="CK2" i="2" s="1"/>
  <c r="CU2" i="2" s="1"/>
  <c r="AJ2" i="2" a="1"/>
  <c r="AJ2" i="2" s="1"/>
  <c r="DP2" i="2" s="1" a="1"/>
  <c r="DP2" i="2" s="1"/>
  <c r="BM2" i="2"/>
  <c r="DE2" i="2" a="1"/>
  <c r="DE2" i="2" s="1"/>
  <c r="AU2" i="2" a="1"/>
  <c r="AU2" i="2" s="1"/>
  <c r="DN2" i="2" a="1"/>
  <c r="DN2" i="2" s="1"/>
  <c r="DO2" i="2" a="1"/>
  <c r="DO2" i="2" s="1"/>
  <c r="DX2" i="2" a="1"/>
  <c r="DX2" i="2" s="1"/>
  <c r="AF2" i="2"/>
  <c r="AE2" i="2"/>
  <c r="DY2" i="2" l="1" a="1"/>
  <c r="DY2" i="2" s="1"/>
  <c r="EJ2" i="2" s="1"/>
  <c r="FE2" i="2" s="1" a="1"/>
  <c r="FE2" i="2" s="1"/>
  <c r="EI2" i="2"/>
  <c r="FD2" i="2" s="1" a="1"/>
  <c r="FD2" i="2" s="1"/>
  <c r="AV2" i="2" a="1"/>
  <c r="AV2" i="2" s="1"/>
  <c r="EV2" i="2"/>
  <c r="AK2" i="2" a="1"/>
  <c r="AK2" i="2" s="1"/>
  <c r="BD2" i="2"/>
  <c r="CB2" i="2" s="1" a="1"/>
  <c r="CB2" i="2" s="1"/>
  <c r="CL2" i="2" s="1" a="1"/>
  <c r="CL2" i="2" s="1"/>
  <c r="CV2" i="2" s="1"/>
  <c r="BN2" i="2"/>
  <c r="DF2" i="2" a="1"/>
  <c r="DF2" i="2" s="1"/>
  <c r="DZ2" i="2" l="1" a="1"/>
  <c r="DZ2" i="2" s="1"/>
  <c r="EK2" i="2" s="1"/>
  <c r="FF2" i="2" s="1" a="1"/>
  <c r="FF2" i="2" s="1"/>
  <c r="AW2" i="2" a="1"/>
  <c r="AW2" i="2" s="1"/>
  <c r="DG2" i="2" a="1"/>
  <c r="DG2" i="2" s="1"/>
  <c r="BO2" i="2"/>
  <c r="BE2" i="2"/>
  <c r="CC2" i="2" s="1" a="1"/>
  <c r="CC2" i="2" s="1"/>
  <c r="CM2" i="2" s="1" a="1"/>
  <c r="CM2" i="2" s="1"/>
  <c r="CW2" i="2" s="1"/>
  <c r="AL2" i="2" a="1"/>
  <c r="AL2" i="2" s="1"/>
  <c r="DQ2" i="2" a="1"/>
  <c r="DQ2" i="2" s="1"/>
  <c r="EW2" i="2"/>
  <c r="EA2" i="2" l="1" a="1"/>
  <c r="EA2" i="2" s="1"/>
  <c r="EL2" i="2" s="1"/>
  <c r="FG2" i="2" s="1" a="1"/>
  <c r="FG2" i="2" s="1"/>
  <c r="BF2" i="2"/>
  <c r="CD2" i="2" s="1" a="1"/>
  <c r="CD2" i="2" s="1"/>
  <c r="CN2" i="2" s="1" a="1"/>
  <c r="CN2" i="2" s="1"/>
  <c r="CX2" i="2" s="1"/>
  <c r="DH2" i="2" a="1"/>
  <c r="DH2" i="2" s="1"/>
  <c r="BP2" i="2"/>
  <c r="AM2" i="2" a="1"/>
  <c r="AM2" i="2" s="1"/>
  <c r="DR2" i="2" a="1"/>
  <c r="DR2" i="2" s="1"/>
  <c r="AX2" i="2" a="1"/>
  <c r="AX2" i="2" s="1"/>
  <c r="EX2" i="2"/>
  <c r="EB2" i="2" l="1" a="1"/>
  <c r="EB2" i="2" s="1"/>
  <c r="EM2" i="2" s="1"/>
  <c r="FH2" i="2" s="1" a="1"/>
  <c r="FH2" i="2" s="1"/>
  <c r="AY2" i="2" a="1"/>
  <c r="AY2" i="2" s="1"/>
  <c r="EZ2" i="2" s="1"/>
  <c r="EY2" i="2"/>
  <c r="BG2" i="2"/>
  <c r="CE2" i="2" s="1" a="1"/>
  <c r="CE2" i="2" s="1"/>
  <c r="CO2" i="2" s="1" a="1"/>
  <c r="CO2" i="2" s="1"/>
  <c r="CY2" i="2" s="1"/>
  <c r="BQ2" i="2"/>
  <c r="DI2" i="2" a="1"/>
  <c r="DI2" i="2" s="1"/>
  <c r="AN2" i="2" a="1"/>
  <c r="AN2" i="2" s="1"/>
  <c r="DS2" i="2" a="1"/>
  <c r="DS2" i="2" s="1"/>
  <c r="EC2" i="2" l="1" a="1"/>
  <c r="EC2" i="2" s="1"/>
  <c r="EN2" i="2" s="1"/>
  <c r="FI2" i="2" s="1" a="1"/>
  <c r="FI2" i="2" s="1"/>
  <c r="DJ2" i="2" a="1"/>
  <c r="DJ2" i="2" s="1"/>
  <c r="BR2" i="2"/>
  <c r="BH2" i="2"/>
  <c r="CF2" i="2" s="1" a="1"/>
  <c r="CF2" i="2" s="1"/>
  <c r="CP2" i="2" s="1" a="1"/>
  <c r="CP2" i="2" s="1"/>
  <c r="CZ2" i="2" s="1"/>
  <c r="AO2" i="2" a="1"/>
  <c r="AO2" i="2" s="1"/>
  <c r="DT2" i="2" a="1"/>
  <c r="DT2" i="2" s="1"/>
  <c r="AZ2" i="2" a="1"/>
  <c r="AZ2" i="2" s="1"/>
  <c r="ED2" i="2" l="1" a="1"/>
  <c r="ED2" i="2" s="1"/>
  <c r="EO2" i="2" s="1"/>
  <c r="FJ2" i="2" s="1" a="1"/>
  <c r="FJ2" i="2" s="1"/>
  <c r="BA2" i="2" a="1"/>
  <c r="BA2" i="2" s="1"/>
  <c r="FB2" i="2" s="1"/>
  <c r="AP2" i="2" a="1"/>
  <c r="AP2" i="2" s="1"/>
  <c r="BS2" i="2"/>
  <c r="BI2" i="2"/>
  <c r="CG2" i="2" s="1" a="1"/>
  <c r="CG2" i="2" s="1"/>
  <c r="CQ2" i="2" s="1" a="1"/>
  <c r="CQ2" i="2" s="1"/>
  <c r="DA2" i="2" s="1"/>
  <c r="DK2" i="2" a="1"/>
  <c r="DK2" i="2" s="1"/>
  <c r="DU2" i="2" a="1"/>
  <c r="DU2" i="2" s="1"/>
  <c r="FA2" i="2"/>
  <c r="EE2" i="2" l="1" a="1"/>
  <c r="EE2" i="2" s="1"/>
  <c r="EP2" i="2" s="1"/>
  <c r="FK2" i="2" s="1" a="1"/>
  <c r="FK2" i="2" s="1"/>
  <c r="DL2" i="2" a="1"/>
  <c r="DL2" i="2" s="1"/>
  <c r="BJ2" i="2"/>
  <c r="CH2" i="2" s="1" a="1"/>
  <c r="CH2" i="2" s="1"/>
  <c r="CR2" i="2" s="1" a="1"/>
  <c r="CR2" i="2" s="1"/>
  <c r="DB2" i="2" s="1"/>
  <c r="AQ2" i="2" a="1"/>
  <c r="AQ2" i="2" s="1"/>
  <c r="BT2" i="2"/>
  <c r="DV2" i="2" a="1"/>
  <c r="DV2" i="2" s="1"/>
  <c r="EF2" i="2" l="1" a="1"/>
  <c r="EF2" i="2" s="1"/>
  <c r="EQ2" i="2" s="1"/>
  <c r="FL2" i="2" s="1" a="1"/>
  <c r="FL2" i="2" s="1"/>
  <c r="DM2" i="2" a="1"/>
  <c r="DM2" i="2" s="1"/>
  <c r="BK2" i="2"/>
  <c r="CI2" i="2" s="1" a="1"/>
  <c r="CI2" i="2" s="1"/>
  <c r="CS2" i="2" s="1" a="1"/>
  <c r="CS2" i="2" s="1"/>
  <c r="DC2" i="2" s="1"/>
  <c r="BU2" i="2"/>
  <c r="DW2" i="2" a="1"/>
  <c r="DW2" i="2" s="1"/>
  <c r="EG2" i="2" l="1" a="1"/>
  <c r="EG2" i="2" s="1"/>
  <c r="EH2" i="2" s="1"/>
  <c r="ER2" i="2" l="1"/>
  <c r="FM2" i="2" s="1" a="1"/>
  <c r="FM2" i="2" s="1"/>
  <c r="FN2" i="2" s="1"/>
  <c r="FP2" i="2" s="1"/>
  <c r="FQ2" i="2" s="1"/>
  <c r="AC4" i="2"/>
  <c r="AC6" i="2"/>
  <c r="AC3" i="2"/>
  <c r="DD6" i="2" a="1"/>
  <c r="DD6" i="2" s="1"/>
  <c r="AC7" i="2"/>
  <c r="AC9" i="2"/>
  <c r="AC8" i="2"/>
  <c r="AC5" i="2"/>
  <c r="DD7" i="2" a="1"/>
  <c r="DD7" i="2" s="1"/>
  <c r="DD9" i="2" a="1"/>
  <c r="DD9" i="2" s="1"/>
  <c r="DD3" i="2" a="1"/>
  <c r="DD3" i="2" s="1"/>
  <c r="AG7" i="2"/>
  <c r="FC7" i="2" s="1"/>
  <c r="DD5" i="2" a="1"/>
  <c r="DD5" i="2" s="1"/>
  <c r="V5" i="2"/>
  <c r="W5" i="2" s="1"/>
  <c r="V6" i="2"/>
  <c r="W6" i="2" s="1"/>
  <c r="DD4" i="2" a="1"/>
  <c r="DD4" i="2" s="1"/>
  <c r="DD8" i="2" a="1"/>
  <c r="DD8" i="2" s="1"/>
  <c r="V7" i="2"/>
  <c r="W7" i="2" s="1"/>
  <c r="V8" i="2"/>
  <c r="W8" i="2" s="1"/>
  <c r="V9" i="2"/>
  <c r="W9" i="2" s="1"/>
  <c r="AG6" i="2"/>
  <c r="AS6" i="2" s="1" a="1"/>
  <c r="AS6" i="2" s="1"/>
  <c r="V4" i="2"/>
  <c r="W4" i="2" s="1"/>
  <c r="AG3" i="2"/>
  <c r="AS3" i="2" s="1" a="1"/>
  <c r="AS3" i="2" s="1"/>
  <c r="V3" i="2"/>
  <c r="W3" i="2" s="1"/>
  <c r="AG4" i="2"/>
  <c r="FC4" i="2" s="1"/>
  <c r="AG9" i="2"/>
  <c r="AS9" i="2" s="1" a="1"/>
  <c r="AS9" i="2" s="1"/>
  <c r="AG8" i="2"/>
  <c r="AS8" i="2" s="1" a="1"/>
  <c r="AS8" i="2" s="1"/>
  <c r="AG5" i="2"/>
  <c r="AS5" i="2" s="1" a="1"/>
  <c r="AS5" i="2" s="1"/>
  <c r="AD5" i="2" l="1"/>
  <c r="AD8" i="2"/>
  <c r="AD7" i="2"/>
  <c r="DX7" i="2" s="1" a="1"/>
  <c r="DX7" i="2" s="1"/>
  <c r="AD3" i="2"/>
  <c r="AF3" i="2" s="1"/>
  <c r="AD6" i="2"/>
  <c r="DN6" i="2" s="1" a="1"/>
  <c r="DN6" i="2" s="1"/>
  <c r="AD4" i="2"/>
  <c r="AF4" i="2" s="1"/>
  <c r="AD9" i="2"/>
  <c r="FV2" i="2"/>
  <c r="FW2" i="2" s="1"/>
  <c r="AI8" i="2" a="1"/>
  <c r="AI8" i="2" s="1"/>
  <c r="DE8" i="2" s="1" a="1"/>
  <c r="DE8" i="2" s="1"/>
  <c r="AI3" i="2" a="1"/>
  <c r="AI3" i="2" s="1"/>
  <c r="BC3" i="2" s="1"/>
  <c r="CA3" i="2" s="1" a="1"/>
  <c r="CA3" i="2" s="1"/>
  <c r="CK3" i="2" s="1" a="1"/>
  <c r="CK3" i="2" s="1"/>
  <c r="CU3" i="2" s="1"/>
  <c r="AI7" i="2" a="1"/>
  <c r="AI7" i="2" s="1"/>
  <c r="DE7" i="2" s="1" a="1"/>
  <c r="DE7" i="2" s="1"/>
  <c r="AI4" i="2" a="1"/>
  <c r="AI4" i="2" s="1"/>
  <c r="AJ4" i="2" s="1" a="1"/>
  <c r="AJ4" i="2" s="1"/>
  <c r="AI9" i="2" a="1"/>
  <c r="AI9" i="2" s="1"/>
  <c r="BM9" i="2" s="1"/>
  <c r="AT6" i="2" a="1"/>
  <c r="AT6" i="2" s="1"/>
  <c r="EU6" i="2" s="1"/>
  <c r="ET6" i="2"/>
  <c r="ET8" i="2"/>
  <c r="AT8" i="2" a="1"/>
  <c r="AT8" i="2" s="1"/>
  <c r="AT5" i="2" a="1"/>
  <c r="AT5" i="2" s="1"/>
  <c r="ET5" i="2"/>
  <c r="ET9" i="2"/>
  <c r="AT9" i="2" a="1"/>
  <c r="AT9" i="2" s="1"/>
  <c r="ET3" i="2"/>
  <c r="AT3" i="2" a="1"/>
  <c r="AT3" i="2" s="1"/>
  <c r="FC9" i="2"/>
  <c r="AS7" i="2" a="1"/>
  <c r="AS7" i="2" s="1"/>
  <c r="FC6" i="2"/>
  <c r="AI5" i="2" a="1"/>
  <c r="AI5" i="2" s="1"/>
  <c r="FC8" i="2"/>
  <c r="AI6" i="2" a="1"/>
  <c r="AI6" i="2" s="1"/>
  <c r="FC3" i="2"/>
  <c r="FC5" i="2"/>
  <c r="AS4" i="2" a="1"/>
  <c r="AS4" i="2" s="1"/>
  <c r="DO6" i="2" l="1" a="1"/>
  <c r="DO6" i="2" s="1"/>
  <c r="L23" i="2" a="1"/>
  <c r="L23" i="2" s="1"/>
  <c r="DN5" i="2" a="1"/>
  <c r="DN5" i="2" s="1"/>
  <c r="L24" i="2" a="1"/>
  <c r="L24" i="2" s="1"/>
  <c r="J23" i="2" a="1"/>
  <c r="J23" i="2" s="1"/>
  <c r="K23" i="2" a="1"/>
  <c r="K23" i="2" s="1"/>
  <c r="J24" i="2" a="1"/>
  <c r="J24" i="2" s="1"/>
  <c r="K22" i="2" a="1"/>
  <c r="K22" i="2" s="1"/>
  <c r="K24" i="2" a="1"/>
  <c r="K24" i="2" s="1"/>
  <c r="J21" i="2" a="1"/>
  <c r="J21" i="2" s="1"/>
  <c r="K21" i="2" a="1"/>
  <c r="K21" i="2" s="1"/>
  <c r="L22" i="2" a="1"/>
  <c r="L22" i="2" s="1"/>
  <c r="L21" i="2" a="1"/>
  <c r="L21" i="2" s="1"/>
  <c r="J22" i="2" a="1"/>
  <c r="J22" i="2" s="1"/>
  <c r="AE6" i="2"/>
  <c r="AF6" i="2"/>
  <c r="DX6" i="2" a="1"/>
  <c r="DX6" i="2" s="1"/>
  <c r="EI6" i="2" s="1"/>
  <c r="FD6" i="2" s="1" a="1"/>
  <c r="FD6" i="2" s="1"/>
  <c r="L25" i="2"/>
  <c r="J25" i="2"/>
  <c r="K25" i="2"/>
  <c r="BM7" i="2"/>
  <c r="DE3" i="2" a="1"/>
  <c r="DE3" i="2" s="1"/>
  <c r="AJ7" i="2" a="1"/>
  <c r="AJ7" i="2" s="1"/>
  <c r="BN7" i="2" s="1"/>
  <c r="BM3" i="2"/>
  <c r="DY3" i="2" s="1" a="1"/>
  <c r="DY3" i="2" s="1"/>
  <c r="AJ3" i="2" a="1"/>
  <c r="AJ3" i="2" s="1"/>
  <c r="DP3" i="2" s="1" a="1"/>
  <c r="DP3" i="2" s="1"/>
  <c r="DX3" i="2" a="1"/>
  <c r="DX3" i="2" s="1"/>
  <c r="EI3" i="2" s="1"/>
  <c r="FD3" i="2" s="1" a="1"/>
  <c r="FD3" i="2" s="1"/>
  <c r="AE5" i="2"/>
  <c r="AF5" i="2"/>
  <c r="DX5" i="2" a="1"/>
  <c r="DX5" i="2" s="1"/>
  <c r="EI5" i="2" s="1"/>
  <c r="FD5" i="2" s="1" a="1"/>
  <c r="FD5" i="2" s="1"/>
  <c r="DO3" i="2" a="1"/>
  <c r="DO3" i="2" s="1"/>
  <c r="AE3" i="2"/>
  <c r="DN3" i="2" a="1"/>
  <c r="DN3" i="2" s="1"/>
  <c r="AE7" i="2"/>
  <c r="AF7" i="2"/>
  <c r="DN7" i="2" a="1"/>
  <c r="DN7" i="2" s="1"/>
  <c r="BM8" i="2"/>
  <c r="DO5" i="2" a="1"/>
  <c r="DO5" i="2" s="1"/>
  <c r="BM4" i="2"/>
  <c r="DE4" i="2" a="1"/>
  <c r="DE4" i="2" s="1"/>
  <c r="BC4" i="2"/>
  <c r="CA4" i="2" s="1" a="1"/>
  <c r="CA4" i="2" s="1"/>
  <c r="CK4" i="2" s="1" a="1"/>
  <c r="CK4" i="2" s="1"/>
  <c r="CU4" i="2" s="1"/>
  <c r="DO7" i="2" a="1"/>
  <c r="DO7" i="2" s="1"/>
  <c r="BC7" i="2"/>
  <c r="CA7" i="2" s="1" a="1"/>
  <c r="CA7" i="2" s="1"/>
  <c r="CK7" i="2" s="1" a="1"/>
  <c r="CK7" i="2" s="1"/>
  <c r="CU7" i="2" s="1"/>
  <c r="DO4" i="2" a="1"/>
  <c r="DO4" i="2" s="1"/>
  <c r="BC8" i="2"/>
  <c r="CA8" i="2" s="1" a="1"/>
  <c r="CA8" i="2" s="1"/>
  <c r="CK8" i="2" s="1" a="1"/>
  <c r="CK8" i="2" s="1"/>
  <c r="CU8" i="2" s="1"/>
  <c r="AJ8" i="2" a="1"/>
  <c r="AJ8" i="2" s="1"/>
  <c r="AK8" i="2" s="1" a="1"/>
  <c r="AK8" i="2" s="1"/>
  <c r="AJ9" i="2" a="1"/>
  <c r="AJ9" i="2" s="1"/>
  <c r="AK9" i="2" s="1" a="1"/>
  <c r="AK9" i="2" s="1"/>
  <c r="DE9" i="2" a="1"/>
  <c r="DE9" i="2" s="1"/>
  <c r="BC9" i="2"/>
  <c r="CA9" i="2" s="1" a="1"/>
  <c r="CA9" i="2" s="1"/>
  <c r="CK9" i="2" s="1" a="1"/>
  <c r="CK9" i="2" s="1"/>
  <c r="CU9" i="2" s="1"/>
  <c r="DY9" i="2" s="1" a="1"/>
  <c r="DY9" i="2" s="1"/>
  <c r="DX4" i="2" a="1"/>
  <c r="DX4" i="2" s="1"/>
  <c r="AE4" i="2"/>
  <c r="DN4" i="2" a="1"/>
  <c r="DN4" i="2" s="1"/>
  <c r="AU5" i="2" a="1"/>
  <c r="AU5" i="2" s="1"/>
  <c r="EU5" i="2"/>
  <c r="DF4" i="2" a="1"/>
  <c r="DF4" i="2" s="1"/>
  <c r="BN4" i="2"/>
  <c r="AK4" i="2" a="1"/>
  <c r="AK4" i="2" s="1"/>
  <c r="BD4" i="2"/>
  <c r="CB4" i="2" s="1" a="1"/>
  <c r="CB4" i="2" s="1"/>
  <c r="CL4" i="2" s="1" a="1"/>
  <c r="CL4" i="2" s="1"/>
  <c r="CV4" i="2" s="1"/>
  <c r="AU6" i="2" a="1"/>
  <c r="AU6" i="2" s="1"/>
  <c r="EV6" i="2" s="1"/>
  <c r="AT7" i="2" a="1"/>
  <c r="AT7" i="2" s="1"/>
  <c r="ET7" i="2"/>
  <c r="DP4" i="2" a="1"/>
  <c r="DP4" i="2" s="1"/>
  <c r="ET4" i="2"/>
  <c r="AT4" i="2" a="1"/>
  <c r="AT4" i="2" s="1"/>
  <c r="EU4" i="2" s="1"/>
  <c r="AU8" i="2" a="1"/>
  <c r="AU8" i="2" s="1"/>
  <c r="AJ6" i="2" a="1"/>
  <c r="AJ6" i="2" s="1"/>
  <c r="BM6" i="2"/>
  <c r="BC6" i="2"/>
  <c r="CA6" i="2" s="1" a="1"/>
  <c r="CA6" i="2" s="1"/>
  <c r="CK6" i="2" s="1" a="1"/>
  <c r="CK6" i="2" s="1"/>
  <c r="CU6" i="2" s="1"/>
  <c r="DE6" i="2" a="1"/>
  <c r="DE6" i="2" s="1"/>
  <c r="AE8" i="2"/>
  <c r="DO8" i="2" a="1"/>
  <c r="DO8" i="2" s="1"/>
  <c r="DN8" i="2" a="1"/>
  <c r="DN8" i="2" s="1"/>
  <c r="DX8" i="2" a="1"/>
  <c r="DX8" i="2" s="1"/>
  <c r="AF8" i="2"/>
  <c r="EI7" i="2"/>
  <c r="FD7" i="2" s="1" a="1"/>
  <c r="FD7" i="2" s="1"/>
  <c r="AU9" i="2" a="1"/>
  <c r="AU9" i="2" s="1"/>
  <c r="EV9" i="2" s="1"/>
  <c r="EU9" i="2"/>
  <c r="DE5" i="2" a="1"/>
  <c r="DE5" i="2" s="1"/>
  <c r="BM5" i="2"/>
  <c r="BC5" i="2"/>
  <c r="CA5" i="2" s="1" a="1"/>
  <c r="CA5" i="2" s="1"/>
  <c r="CK5" i="2" s="1" a="1"/>
  <c r="CK5" i="2" s="1"/>
  <c r="CU5" i="2" s="1"/>
  <c r="AJ5" i="2" a="1"/>
  <c r="AJ5" i="2" s="1"/>
  <c r="EU8" i="2"/>
  <c r="DN9" i="2" a="1"/>
  <c r="DN9" i="2" s="1"/>
  <c r="DX9" i="2" a="1"/>
  <c r="DX9" i="2" s="1"/>
  <c r="AF9" i="2"/>
  <c r="DO9" i="2" a="1"/>
  <c r="DO9" i="2" s="1"/>
  <c r="AE9" i="2"/>
  <c r="AU3" i="2" a="1"/>
  <c r="AU3" i="2" s="1"/>
  <c r="EV3" i="2" s="1"/>
  <c r="EU3" i="2"/>
  <c r="DF3" i="2" l="1" a="1"/>
  <c r="DF3" i="2" s="1"/>
  <c r="BN3" i="2"/>
  <c r="BD3" i="2"/>
  <c r="CB3" i="2" s="1" a="1"/>
  <c r="CB3" i="2" s="1"/>
  <c r="CL3" i="2" s="1" a="1"/>
  <c r="CL3" i="2" s="1"/>
  <c r="CV3" i="2" s="1"/>
  <c r="DP7" i="2" a="1"/>
  <c r="DP7" i="2" s="1"/>
  <c r="AK3" i="2" a="1"/>
  <c r="AK3" i="2" s="1"/>
  <c r="DG3" i="2" s="1" a="1"/>
  <c r="DG3" i="2" s="1"/>
  <c r="DY7" i="2" a="1"/>
  <c r="DY7" i="2" s="1"/>
  <c r="EJ7" i="2" s="1"/>
  <c r="FE7" i="2" s="1" a="1"/>
  <c r="FE7" i="2" s="1"/>
  <c r="L31" i="2"/>
  <c r="J37" i="2"/>
  <c r="K37" i="2"/>
  <c r="L37" i="2"/>
  <c r="K31" i="2"/>
  <c r="J31" i="2"/>
  <c r="DF7" i="2" a="1"/>
  <c r="DF7" i="2" s="1"/>
  <c r="AK7" i="2" a="1"/>
  <c r="AK7" i="2" s="1"/>
  <c r="AL7" i="2" s="1" a="1"/>
  <c r="AL7" i="2" s="1"/>
  <c r="BD7" i="2"/>
  <c r="CB7" i="2" s="1" a="1"/>
  <c r="CB7" i="2" s="1"/>
  <c r="CL7" i="2" s="1" a="1"/>
  <c r="CL7" i="2" s="1"/>
  <c r="CV7" i="2" s="1"/>
  <c r="DZ7" i="2" s="1" a="1"/>
  <c r="DZ7" i="2" s="1"/>
  <c r="K28" i="2" a="1"/>
  <c r="K28" i="2" s="1"/>
  <c r="L36" i="2" a="1"/>
  <c r="L36" i="2" s="1"/>
  <c r="K36" i="2" a="1"/>
  <c r="K36" i="2" s="1"/>
  <c r="J36" i="2" a="1"/>
  <c r="J36" i="2" s="1"/>
  <c r="L35" i="2" a="1"/>
  <c r="L35" i="2" s="1"/>
  <c r="K35" i="2" a="1"/>
  <c r="K35" i="2" s="1"/>
  <c r="J35" i="2" a="1"/>
  <c r="J35" i="2" s="1"/>
  <c r="L34" i="2" a="1"/>
  <c r="L34" i="2" s="1"/>
  <c r="K34" i="2" a="1"/>
  <c r="K34" i="2" s="1"/>
  <c r="J34" i="2" a="1"/>
  <c r="J34" i="2" s="1"/>
  <c r="L33" i="2" a="1"/>
  <c r="L33" i="2" s="1"/>
  <c r="K33" i="2" a="1"/>
  <c r="K33" i="2" s="1"/>
  <c r="J33" i="2" a="1"/>
  <c r="J33" i="2" s="1"/>
  <c r="K30" i="2" a="1"/>
  <c r="K30" i="2" s="1"/>
  <c r="J30" i="2" a="1"/>
  <c r="J30" i="2" s="1"/>
  <c r="L29" i="2" a="1"/>
  <c r="L29" i="2" s="1"/>
  <c r="J29" i="2" a="1"/>
  <c r="J29" i="2" s="1"/>
  <c r="K29" i="2" a="1"/>
  <c r="K29" i="2" s="1"/>
  <c r="EJ3" i="2"/>
  <c r="FE3" i="2" s="1" a="1"/>
  <c r="FE3" i="2" s="1"/>
  <c r="L30" i="2" a="1"/>
  <c r="L30" i="2" s="1"/>
  <c r="J27" i="2" a="1"/>
  <c r="J27" i="2" s="1"/>
  <c r="L28" i="2" a="1"/>
  <c r="L28" i="2" s="1"/>
  <c r="L27" i="2" a="1"/>
  <c r="L27" i="2" s="1"/>
  <c r="J28" i="2" a="1"/>
  <c r="J28" i="2" s="1"/>
  <c r="K27" i="2" a="1"/>
  <c r="K27" i="2" s="1"/>
  <c r="DY6" i="2" a="1"/>
  <c r="DY6" i="2" s="1"/>
  <c r="EJ6" i="2" s="1"/>
  <c r="FE6" i="2" s="1" a="1"/>
  <c r="FE6" i="2" s="1"/>
  <c r="DY4" i="2" a="1"/>
  <c r="DY4" i="2" s="1"/>
  <c r="EJ4" i="2" s="1"/>
  <c r="FE4" i="2" s="1" a="1"/>
  <c r="FE4" i="2" s="1"/>
  <c r="DZ4" i="2" a="1"/>
  <c r="DZ4" i="2" s="1"/>
  <c r="DY8" i="2" a="1"/>
  <c r="DY8" i="2" s="1"/>
  <c r="EJ8" i="2" s="1"/>
  <c r="FE8" i="2" s="1" a="1"/>
  <c r="FE8" i="2" s="1"/>
  <c r="DY5" i="2" a="1"/>
  <c r="DY5" i="2" s="1"/>
  <c r="EJ5" i="2" s="1"/>
  <c r="FE5" i="2" s="1" a="1"/>
  <c r="FE5" i="2" s="1"/>
  <c r="DP8" i="2" a="1"/>
  <c r="DP8" i="2" s="1"/>
  <c r="BD8" i="2"/>
  <c r="CB8" i="2" s="1" a="1"/>
  <c r="CB8" i="2" s="1"/>
  <c r="CL8" i="2" s="1" a="1"/>
  <c r="CL8" i="2" s="1"/>
  <c r="CV8" i="2" s="1"/>
  <c r="DP9" i="2" a="1"/>
  <c r="DP9" i="2" s="1"/>
  <c r="DF8" i="2" a="1"/>
  <c r="DF8" i="2" s="1"/>
  <c r="BN8" i="2"/>
  <c r="DF9" i="2" a="1"/>
  <c r="DF9" i="2" s="1"/>
  <c r="BD9" i="2"/>
  <c r="CB9" i="2" s="1" a="1"/>
  <c r="CB9" i="2" s="1"/>
  <c r="CL9" i="2" s="1" a="1"/>
  <c r="CL9" i="2" s="1"/>
  <c r="CV9" i="2" s="1"/>
  <c r="BN9" i="2"/>
  <c r="EI4" i="2"/>
  <c r="FD4" i="2" s="1" a="1"/>
  <c r="FD4" i="2" s="1"/>
  <c r="AU7" i="2" a="1"/>
  <c r="AU7" i="2" s="1"/>
  <c r="EU7" i="2"/>
  <c r="AV6" i="2" a="1"/>
  <c r="AV6" i="2" s="1"/>
  <c r="EW6" i="2" s="1"/>
  <c r="AL8" i="2" a="1"/>
  <c r="AL8" i="2" s="1"/>
  <c r="DG8" i="2" a="1"/>
  <c r="DG8" i="2" s="1"/>
  <c r="BO8" i="2"/>
  <c r="BE8" i="2"/>
  <c r="CC8" i="2" s="1" a="1"/>
  <c r="CC8" i="2" s="1"/>
  <c r="CM8" i="2" s="1" a="1"/>
  <c r="CM8" i="2" s="1"/>
  <c r="CW8" i="2" s="1"/>
  <c r="DF5" i="2" a="1"/>
  <c r="DF5" i="2" s="1"/>
  <c r="BN5" i="2"/>
  <c r="BD5" i="2"/>
  <c r="CB5" i="2" s="1" a="1"/>
  <c r="CB5" i="2" s="1"/>
  <c r="CL5" i="2" s="1" a="1"/>
  <c r="CL5" i="2" s="1"/>
  <c r="CV5" i="2" s="1"/>
  <c r="AK5" i="2" a="1"/>
  <c r="AK5" i="2" s="1"/>
  <c r="DP5" i="2" a="1"/>
  <c r="DP5" i="2" s="1"/>
  <c r="BD6" i="2"/>
  <c r="CB6" i="2" s="1" a="1"/>
  <c r="CB6" i="2" s="1"/>
  <c r="CL6" i="2" s="1" a="1"/>
  <c r="CL6" i="2" s="1"/>
  <c r="CV6" i="2" s="1"/>
  <c r="DF6" i="2" a="1"/>
  <c r="DF6" i="2" s="1"/>
  <c r="BN6" i="2"/>
  <c r="AK6" i="2" a="1"/>
  <c r="AK6" i="2" s="1"/>
  <c r="DP6" i="2" a="1"/>
  <c r="DP6" i="2" s="1"/>
  <c r="EJ9" i="2"/>
  <c r="FE9" i="2" s="1" a="1"/>
  <c r="FE9" i="2" s="1"/>
  <c r="EI9" i="2"/>
  <c r="FD9" i="2" s="1" a="1"/>
  <c r="FD9" i="2" s="1"/>
  <c r="DQ8" i="2" a="1"/>
  <c r="DQ8" i="2" s="1"/>
  <c r="BE4" i="2"/>
  <c r="CC4" i="2" s="1" a="1"/>
  <c r="CC4" i="2" s="1"/>
  <c r="CM4" i="2" s="1" a="1"/>
  <c r="CM4" i="2" s="1"/>
  <c r="CW4" i="2" s="1"/>
  <c r="DG4" i="2" a="1"/>
  <c r="DG4" i="2" s="1"/>
  <c r="BO4" i="2"/>
  <c r="AL4" i="2" a="1"/>
  <c r="AL4" i="2" s="1"/>
  <c r="DQ4" i="2" a="1"/>
  <c r="DQ4" i="2" s="1"/>
  <c r="AL9" i="2" a="1"/>
  <c r="AL9" i="2" s="1"/>
  <c r="DG9" i="2" a="1"/>
  <c r="DG9" i="2" s="1"/>
  <c r="BO9" i="2"/>
  <c r="BE9" i="2"/>
  <c r="CC9" i="2" s="1" a="1"/>
  <c r="CC9" i="2" s="1"/>
  <c r="CM9" i="2" s="1" a="1"/>
  <c r="CM9" i="2" s="1"/>
  <c r="CW9" i="2" s="1"/>
  <c r="AV3" i="2" a="1"/>
  <c r="AV3" i="2" s="1"/>
  <c r="AV9" i="2" a="1"/>
  <c r="AV9" i="2" s="1"/>
  <c r="EW9" i="2" s="1"/>
  <c r="AV8" i="2" a="1"/>
  <c r="AV8" i="2" s="1"/>
  <c r="AV5" i="2" a="1"/>
  <c r="AV5" i="2" s="1"/>
  <c r="EV8" i="2"/>
  <c r="EV5" i="2"/>
  <c r="EI8" i="2"/>
  <c r="FD8" i="2" s="1" a="1"/>
  <c r="FD8" i="2" s="1"/>
  <c r="DQ9" i="2" a="1"/>
  <c r="DQ9" i="2" s="1"/>
  <c r="AU4" i="2" a="1"/>
  <c r="AU4" i="2" s="1"/>
  <c r="EK7" i="2" l="1"/>
  <c r="FF7" i="2" s="1" a="1"/>
  <c r="FF7" i="2" s="1"/>
  <c r="DZ3" i="2" a="1"/>
  <c r="DZ3" i="2" s="1"/>
  <c r="EK3" i="2" s="1"/>
  <c r="FF3" i="2" s="1" a="1"/>
  <c r="FF3" i="2" s="1"/>
  <c r="BO3" i="2"/>
  <c r="DQ3" i="2" a="1"/>
  <c r="DQ3" i="2" s="1"/>
  <c r="BE3" i="2"/>
  <c r="CC3" i="2" s="1" a="1"/>
  <c r="CC3" i="2" s="1"/>
  <c r="CM3" i="2" s="1" a="1"/>
  <c r="CM3" i="2" s="1"/>
  <c r="CW3" i="2" s="1"/>
  <c r="AL3" i="2" a="1"/>
  <c r="AL3" i="2" s="1"/>
  <c r="DH3" i="2" s="1" a="1"/>
  <c r="DH3" i="2" s="1"/>
  <c r="DQ7" i="2" a="1"/>
  <c r="DQ7" i="2" s="1"/>
  <c r="BE7" i="2"/>
  <c r="CC7" i="2" s="1" a="1"/>
  <c r="CC7" i="2" s="1"/>
  <c r="CM7" i="2" s="1" a="1"/>
  <c r="CM7" i="2" s="1"/>
  <c r="CW7" i="2" s="1"/>
  <c r="BO7" i="2"/>
  <c r="DG7" i="2" a="1"/>
  <c r="DG7" i="2" s="1"/>
  <c r="EK4" i="2"/>
  <c r="FF4" i="2" s="1" a="1"/>
  <c r="FF4" i="2" s="1"/>
  <c r="DZ5" i="2" a="1"/>
  <c r="DZ5" i="2" s="1"/>
  <c r="EK5" i="2" s="1"/>
  <c r="FF5" i="2" s="1" a="1"/>
  <c r="FF5" i="2" s="1"/>
  <c r="DZ9" i="2" a="1"/>
  <c r="DZ9" i="2" s="1"/>
  <c r="EK9" i="2" s="1"/>
  <c r="FF9" i="2" s="1" a="1"/>
  <c r="FF9" i="2" s="1"/>
  <c r="DZ8" i="2" a="1"/>
  <c r="DZ8" i="2" s="1"/>
  <c r="EK8" i="2" s="1"/>
  <c r="FF8" i="2" s="1" a="1"/>
  <c r="FF8" i="2" s="1"/>
  <c r="DZ6" i="2" a="1"/>
  <c r="DZ6" i="2" s="1"/>
  <c r="EK6" i="2" s="1"/>
  <c r="FF6" i="2" s="1" a="1"/>
  <c r="FF6" i="2" s="1"/>
  <c r="EA4" i="2" a="1"/>
  <c r="EA4" i="2" s="1"/>
  <c r="EL4" i="2" s="1"/>
  <c r="EA8" i="2" a="1"/>
  <c r="EA8" i="2" s="1"/>
  <c r="DG5" i="2" a="1"/>
  <c r="DG5" i="2" s="1"/>
  <c r="BE5" i="2"/>
  <c r="CC5" i="2" s="1" a="1"/>
  <c r="CC5" i="2" s="1"/>
  <c r="CM5" i="2" s="1" a="1"/>
  <c r="CM5" i="2" s="1"/>
  <c r="CW5" i="2" s="1"/>
  <c r="AL5" i="2" a="1"/>
  <c r="AL5" i="2" s="1"/>
  <c r="BO5" i="2"/>
  <c r="DQ5" i="2" a="1"/>
  <c r="DQ5" i="2" s="1"/>
  <c r="DG6" i="2" a="1"/>
  <c r="DG6" i="2" s="1"/>
  <c r="BE6" i="2"/>
  <c r="CC6" i="2" s="1" a="1"/>
  <c r="CC6" i="2" s="1"/>
  <c r="CM6" i="2" s="1" a="1"/>
  <c r="CM6" i="2" s="1"/>
  <c r="CW6" i="2" s="1"/>
  <c r="AL6" i="2" a="1"/>
  <c r="AL6" i="2" s="1"/>
  <c r="BO6" i="2"/>
  <c r="DQ6" i="2" a="1"/>
  <c r="DQ6" i="2" s="1"/>
  <c r="BF9" i="2"/>
  <c r="CD9" i="2" s="1" a="1"/>
  <c r="CD9" i="2" s="1"/>
  <c r="CN9" i="2" s="1" a="1"/>
  <c r="CN9" i="2" s="1"/>
  <c r="CX9" i="2" s="1"/>
  <c r="AM9" i="2" a="1"/>
  <c r="AM9" i="2" s="1"/>
  <c r="DH9" i="2" a="1"/>
  <c r="DH9" i="2" s="1"/>
  <c r="BP9" i="2"/>
  <c r="DR9" i="2" a="1"/>
  <c r="DR9" i="2" s="1"/>
  <c r="AM8" i="2" a="1"/>
  <c r="AM8" i="2" s="1"/>
  <c r="DH8" i="2" a="1"/>
  <c r="DH8" i="2" s="1"/>
  <c r="BP8" i="2"/>
  <c r="BF8" i="2"/>
  <c r="CD8" i="2" s="1" a="1"/>
  <c r="CD8" i="2" s="1"/>
  <c r="CN8" i="2" s="1" a="1"/>
  <c r="CN8" i="2" s="1"/>
  <c r="CX8" i="2" s="1"/>
  <c r="DR8" i="2" a="1"/>
  <c r="DR8" i="2" s="1"/>
  <c r="BF4" i="2"/>
  <c r="CD4" i="2" s="1" a="1"/>
  <c r="CD4" i="2" s="1"/>
  <c r="CN4" i="2" s="1" a="1"/>
  <c r="CN4" i="2" s="1"/>
  <c r="CX4" i="2" s="1"/>
  <c r="DH4" i="2" a="1"/>
  <c r="DH4" i="2" s="1"/>
  <c r="AM4" i="2" a="1"/>
  <c r="AM4" i="2" s="1"/>
  <c r="BP4" i="2"/>
  <c r="DR4" i="2" a="1"/>
  <c r="DR4" i="2" s="1"/>
  <c r="AW5" i="2" a="1"/>
  <c r="AW5" i="2" s="1"/>
  <c r="AW8" i="2" a="1"/>
  <c r="AW8" i="2" s="1"/>
  <c r="AW6" i="2" a="1"/>
  <c r="AW6" i="2" s="1"/>
  <c r="BF7" i="2"/>
  <c r="CD7" i="2" s="1" a="1"/>
  <c r="CD7" i="2" s="1"/>
  <c r="CN7" i="2" s="1" a="1"/>
  <c r="CN7" i="2" s="1"/>
  <c r="CX7" i="2" s="1"/>
  <c r="AM7" i="2" a="1"/>
  <c r="AM7" i="2" s="1"/>
  <c r="DH7" i="2" a="1"/>
  <c r="DH7" i="2" s="1"/>
  <c r="BP7" i="2"/>
  <c r="DR7" i="2" a="1"/>
  <c r="DR7" i="2" s="1"/>
  <c r="AV4" i="2" a="1"/>
  <c r="AV4" i="2" s="1"/>
  <c r="EW5" i="2"/>
  <c r="EW8" i="2"/>
  <c r="AW9" i="2" a="1"/>
  <c r="AW9" i="2" s="1"/>
  <c r="EX9" i="2" s="1"/>
  <c r="AV7" i="2" a="1"/>
  <c r="AV7" i="2" s="1"/>
  <c r="EW7" i="2" s="1"/>
  <c r="EV4" i="2"/>
  <c r="AW3" i="2" a="1"/>
  <c r="AW3" i="2" s="1"/>
  <c r="EV7" i="2"/>
  <c r="EW3" i="2"/>
  <c r="EA9" i="2" a="1"/>
  <c r="EA9" i="2" s="1"/>
  <c r="BP3" i="2" l="1"/>
  <c r="DR3" i="2" a="1"/>
  <c r="DR3" i="2" s="1"/>
  <c r="AM3" i="2" a="1"/>
  <c r="AM3" i="2" s="1"/>
  <c r="BF3" i="2"/>
  <c r="CD3" i="2" s="1" a="1"/>
  <c r="CD3" i="2" s="1"/>
  <c r="CN3" i="2" s="1" a="1"/>
  <c r="CN3" i="2" s="1"/>
  <c r="CX3" i="2" s="1"/>
  <c r="EA3" i="2" a="1"/>
  <c r="EA3" i="2" s="1"/>
  <c r="EL3" i="2" s="1"/>
  <c r="FG3" i="2" s="1" a="1"/>
  <c r="FG3" i="2" s="1"/>
  <c r="EA7" i="2" a="1"/>
  <c r="EA7" i="2" s="1"/>
  <c r="EL7" i="2" s="1"/>
  <c r="FG7" i="2" s="1" a="1"/>
  <c r="FG7" i="2" s="1"/>
  <c r="EB9" i="2" a="1"/>
  <c r="EB9" i="2" s="1"/>
  <c r="EM9" i="2" s="1"/>
  <c r="FH9" i="2" s="1" a="1"/>
  <c r="FH9" i="2" s="1"/>
  <c r="EL8" i="2"/>
  <c r="FG8" i="2" s="1" a="1"/>
  <c r="FG8" i="2" s="1"/>
  <c r="EB7" i="2" a="1"/>
  <c r="EB7" i="2" s="1"/>
  <c r="EA6" i="2" a="1"/>
  <c r="EA6" i="2" s="1"/>
  <c r="EL6" i="2" s="1"/>
  <c r="FG6" i="2" s="1" a="1"/>
  <c r="FG6" i="2" s="1"/>
  <c r="EA5" i="2" a="1"/>
  <c r="EA5" i="2" s="1"/>
  <c r="EL5" i="2" s="1"/>
  <c r="FG5" i="2" s="1" a="1"/>
  <c r="FG5" i="2" s="1"/>
  <c r="FG4" i="2" a="1"/>
  <c r="FG4" i="2" s="1"/>
  <c r="EB4" i="2" a="1"/>
  <c r="EB4" i="2" s="1"/>
  <c r="EM4" i="2" s="1"/>
  <c r="EB8" i="2" a="1"/>
  <c r="EB8" i="2" s="1"/>
  <c r="EM8" i="2" s="1"/>
  <c r="FH8" i="2" s="1" a="1"/>
  <c r="FH8" i="2" s="1"/>
  <c r="EL9" i="2"/>
  <c r="FG9" i="2" s="1" a="1"/>
  <c r="FG9" i="2" s="1"/>
  <c r="AX8" i="2" a="1"/>
  <c r="AX8" i="2" s="1"/>
  <c r="BG9" i="2"/>
  <c r="CE9" i="2" s="1" a="1"/>
  <c r="CE9" i="2" s="1"/>
  <c r="CO9" i="2" s="1" a="1"/>
  <c r="CO9" i="2" s="1"/>
  <c r="CY9" i="2" s="1"/>
  <c r="BQ9" i="2"/>
  <c r="AN9" i="2" a="1"/>
  <c r="AN9" i="2" s="1"/>
  <c r="DI9" i="2" a="1"/>
  <c r="DI9" i="2" s="1"/>
  <c r="DS9" i="2" a="1"/>
  <c r="DS9" i="2" s="1"/>
  <c r="AX3" i="2" a="1"/>
  <c r="AX3" i="2" s="1"/>
  <c r="BP6" i="2"/>
  <c r="BF6" i="2"/>
  <c r="CD6" i="2" s="1" a="1"/>
  <c r="CD6" i="2" s="1"/>
  <c r="CN6" i="2" s="1" a="1"/>
  <c r="CN6" i="2" s="1"/>
  <c r="CX6" i="2" s="1"/>
  <c r="AM6" i="2" a="1"/>
  <c r="AM6" i="2" s="1"/>
  <c r="DH6" i="2" a="1"/>
  <c r="DH6" i="2" s="1"/>
  <c r="DR6" i="2" a="1"/>
  <c r="DR6" i="2" s="1"/>
  <c r="BF5" i="2"/>
  <c r="CD5" i="2" s="1" a="1"/>
  <c r="CD5" i="2" s="1"/>
  <c r="CN5" i="2" s="1" a="1"/>
  <c r="CN5" i="2" s="1"/>
  <c r="CX5" i="2" s="1"/>
  <c r="AM5" i="2" a="1"/>
  <c r="AM5" i="2" s="1"/>
  <c r="DH5" i="2" a="1"/>
  <c r="DH5" i="2" s="1"/>
  <c r="BP5" i="2"/>
  <c r="DR5" i="2" a="1"/>
  <c r="DR5" i="2" s="1"/>
  <c r="EX8" i="2"/>
  <c r="EX3" i="2"/>
  <c r="AX5" i="2" a="1"/>
  <c r="AX5" i="2" s="1"/>
  <c r="EY5" i="2" s="1"/>
  <c r="AN3" i="2" a="1"/>
  <c r="AN3" i="2" s="1"/>
  <c r="BQ3" i="2"/>
  <c r="DI3" i="2" a="1"/>
  <c r="DI3" i="2" s="1"/>
  <c r="BG3" i="2"/>
  <c r="CE3" i="2" s="1" a="1"/>
  <c r="CE3" i="2" s="1"/>
  <c r="CO3" i="2" s="1" a="1"/>
  <c r="CO3" i="2" s="1"/>
  <c r="CY3" i="2" s="1"/>
  <c r="DS3" i="2" a="1"/>
  <c r="DS3" i="2" s="1"/>
  <c r="AX6" i="2" a="1"/>
  <c r="AX6" i="2" s="1"/>
  <c r="EY6" i="2" s="1"/>
  <c r="AW7" i="2" a="1"/>
  <c r="AW7" i="2" s="1"/>
  <c r="EX7" i="2" s="1"/>
  <c r="AX9" i="2" a="1"/>
  <c r="AX9" i="2" s="1"/>
  <c r="EY9" i="2" s="1"/>
  <c r="DI4" i="2" a="1"/>
  <c r="DI4" i="2" s="1"/>
  <c r="BQ4" i="2"/>
  <c r="BG4" i="2"/>
  <c r="CE4" i="2" s="1" a="1"/>
  <c r="CE4" i="2" s="1"/>
  <c r="CO4" i="2" s="1" a="1"/>
  <c r="CO4" i="2" s="1"/>
  <c r="CY4" i="2" s="1"/>
  <c r="AN4" i="2" a="1"/>
  <c r="AN4" i="2" s="1"/>
  <c r="DS4" i="2" a="1"/>
  <c r="DS4" i="2" s="1"/>
  <c r="AW4" i="2" a="1"/>
  <c r="AW4" i="2" s="1"/>
  <c r="EX4" i="2" s="1"/>
  <c r="EW4" i="2"/>
  <c r="DI8" i="2" a="1"/>
  <c r="DI8" i="2" s="1"/>
  <c r="AN8" i="2" a="1"/>
  <c r="AN8" i="2" s="1"/>
  <c r="BG8" i="2"/>
  <c r="CE8" i="2" s="1" a="1"/>
  <c r="CE8" i="2" s="1"/>
  <c r="CO8" i="2" s="1" a="1"/>
  <c r="CO8" i="2" s="1"/>
  <c r="CY8" i="2" s="1"/>
  <c r="BQ8" i="2"/>
  <c r="DS8" i="2" a="1"/>
  <c r="DS8" i="2" s="1"/>
  <c r="EX6" i="2"/>
  <c r="BG7" i="2"/>
  <c r="CE7" i="2" s="1" a="1"/>
  <c r="CE7" i="2" s="1"/>
  <c r="CO7" i="2" s="1" a="1"/>
  <c r="CO7" i="2" s="1"/>
  <c r="CY7" i="2" s="1"/>
  <c r="DI7" i="2" a="1"/>
  <c r="DI7" i="2" s="1"/>
  <c r="BQ7" i="2"/>
  <c r="AN7" i="2" a="1"/>
  <c r="AN7" i="2" s="1"/>
  <c r="DS7" i="2" a="1"/>
  <c r="DS7" i="2" s="1"/>
  <c r="EX5" i="2"/>
  <c r="EB3" i="2" l="1" a="1"/>
  <c r="EB3" i="2" s="1"/>
  <c r="EM3" i="2" s="1"/>
  <c r="FH3" i="2" s="1" a="1"/>
  <c r="FH3" i="2" s="1"/>
  <c r="EB5" i="2" a="1"/>
  <c r="EB5" i="2" s="1"/>
  <c r="EM5" i="2" s="1"/>
  <c r="FH5" i="2" s="1" a="1"/>
  <c r="FH5" i="2" s="1"/>
  <c r="EM7" i="2"/>
  <c r="FH7" i="2" s="1" a="1"/>
  <c r="FH7" i="2" s="1"/>
  <c r="EC3" i="2" a="1"/>
  <c r="EC3" i="2" s="1"/>
  <c r="EB6" i="2" a="1"/>
  <c r="EB6" i="2" s="1"/>
  <c r="EM6" i="2" s="1"/>
  <c r="FH6" i="2" s="1" a="1"/>
  <c r="FH6" i="2" s="1"/>
  <c r="EC8" i="2" a="1"/>
  <c r="EC8" i="2" s="1"/>
  <c r="EN8" i="2" s="1"/>
  <c r="FI8" i="2" s="1" a="1"/>
  <c r="FI8" i="2" s="1"/>
  <c r="EC9" i="2" a="1"/>
  <c r="EC9" i="2" s="1"/>
  <c r="EN9" i="2" s="1"/>
  <c r="FI9" i="2" s="1" a="1"/>
  <c r="FI9" i="2" s="1"/>
  <c r="FH4" i="2" a="1"/>
  <c r="FH4" i="2" s="1"/>
  <c r="EC4" i="2" a="1"/>
  <c r="EC4" i="2" s="1"/>
  <c r="EN4" i="2" s="1"/>
  <c r="FI4" i="2" s="1" a="1"/>
  <c r="FI4" i="2" s="1"/>
  <c r="EC7" i="2" a="1"/>
  <c r="EC7" i="2" s="1"/>
  <c r="EN7" i="2" s="1"/>
  <c r="FI7" i="2" s="1" a="1"/>
  <c r="FI7" i="2" s="1"/>
  <c r="AN5" i="2" a="1"/>
  <c r="AN5" i="2" s="1"/>
  <c r="BG5" i="2"/>
  <c r="CE5" i="2" s="1" a="1"/>
  <c r="CE5" i="2" s="1"/>
  <c r="CO5" i="2" s="1" a="1"/>
  <c r="CO5" i="2" s="1"/>
  <c r="CY5" i="2" s="1"/>
  <c r="DI5" i="2" a="1"/>
  <c r="DI5" i="2" s="1"/>
  <c r="BQ5" i="2"/>
  <c r="DS5" i="2" a="1"/>
  <c r="DS5" i="2" s="1"/>
  <c r="AO7" i="2" a="1"/>
  <c r="AO7" i="2" s="1"/>
  <c r="BH7" i="2"/>
  <c r="CF7" i="2" s="1" a="1"/>
  <c r="CF7" i="2" s="1"/>
  <c r="CP7" i="2" s="1" a="1"/>
  <c r="CP7" i="2" s="1"/>
  <c r="CZ7" i="2" s="1"/>
  <c r="BR7" i="2"/>
  <c r="DJ7" i="2" a="1"/>
  <c r="DJ7" i="2" s="1"/>
  <c r="DT7" i="2" a="1"/>
  <c r="DT7" i="2" s="1"/>
  <c r="AY9" i="2" a="1"/>
  <c r="AY9" i="2" s="1"/>
  <c r="BG6" i="2"/>
  <c r="CE6" i="2" s="1" a="1"/>
  <c r="CE6" i="2" s="1"/>
  <c r="CO6" i="2" s="1" a="1"/>
  <c r="CO6" i="2" s="1"/>
  <c r="CY6" i="2" s="1"/>
  <c r="DI6" i="2" a="1"/>
  <c r="DI6" i="2" s="1"/>
  <c r="BQ6" i="2"/>
  <c r="AN6" i="2" a="1"/>
  <c r="AN6" i="2" s="1"/>
  <c r="DS6" i="2" a="1"/>
  <c r="DS6" i="2" s="1"/>
  <c r="AY8" i="2" a="1"/>
  <c r="AY8" i="2" s="1"/>
  <c r="EY8" i="2"/>
  <c r="AY3" i="2" a="1"/>
  <c r="AY3" i="2" s="1"/>
  <c r="EZ3" i="2" s="1"/>
  <c r="DJ9" i="2" a="1"/>
  <c r="DJ9" i="2" s="1"/>
  <c r="BR9" i="2"/>
  <c r="BH9" i="2"/>
  <c r="CF9" i="2" s="1" a="1"/>
  <c r="CF9" i="2" s="1"/>
  <c r="CP9" i="2" s="1" a="1"/>
  <c r="CP9" i="2" s="1"/>
  <c r="CZ9" i="2" s="1"/>
  <c r="AO9" i="2" a="1"/>
  <c r="AO9" i="2" s="1"/>
  <c r="DT9" i="2" a="1"/>
  <c r="DT9" i="2" s="1"/>
  <c r="EY3" i="2"/>
  <c r="AO3" i="2" a="1"/>
  <c r="AO3" i="2" s="1"/>
  <c r="BH3" i="2"/>
  <c r="CF3" i="2" s="1" a="1"/>
  <c r="CF3" i="2" s="1"/>
  <c r="CP3" i="2" s="1" a="1"/>
  <c r="CP3" i="2" s="1"/>
  <c r="CZ3" i="2" s="1"/>
  <c r="DJ3" i="2" a="1"/>
  <c r="DJ3" i="2" s="1"/>
  <c r="BR3" i="2"/>
  <c r="DT3" i="2" a="1"/>
  <c r="DT3" i="2" s="1"/>
  <c r="AY5" i="2" a="1"/>
  <c r="AY5" i="2" s="1"/>
  <c r="AY6" i="2" a="1"/>
  <c r="AY6" i="2" s="1"/>
  <c r="EZ6" i="2" s="1"/>
  <c r="AO8" i="2" a="1"/>
  <c r="AO8" i="2" s="1"/>
  <c r="BH8" i="2"/>
  <c r="CF8" i="2" s="1" a="1"/>
  <c r="CF8" i="2" s="1"/>
  <c r="CP8" i="2" s="1" a="1"/>
  <c r="CP8" i="2" s="1"/>
  <c r="CZ8" i="2" s="1"/>
  <c r="DJ8" i="2" a="1"/>
  <c r="DJ8" i="2" s="1"/>
  <c r="BR8" i="2"/>
  <c r="DT8" i="2" a="1"/>
  <c r="DT8" i="2" s="1"/>
  <c r="AX7" i="2" a="1"/>
  <c r="AX7" i="2" s="1"/>
  <c r="EY7" i="2" s="1"/>
  <c r="AX4" i="2" a="1"/>
  <c r="AX4" i="2" s="1"/>
  <c r="EY4" i="2" s="1"/>
  <c r="DJ4" i="2" a="1"/>
  <c r="DJ4" i="2" s="1"/>
  <c r="BR4" i="2"/>
  <c r="AO4" i="2" a="1"/>
  <c r="AO4" i="2" s="1"/>
  <c r="BH4" i="2"/>
  <c r="CF4" i="2" s="1" a="1"/>
  <c r="CF4" i="2" s="1"/>
  <c r="CP4" i="2" s="1" a="1"/>
  <c r="CP4" i="2" s="1"/>
  <c r="CZ4" i="2" s="1"/>
  <c r="DT4" i="2" a="1"/>
  <c r="DT4" i="2" s="1"/>
  <c r="EN3" i="2" l="1"/>
  <c r="FI3" i="2" s="1" a="1"/>
  <c r="FI3" i="2" s="1"/>
  <c r="ED7" i="2" a="1"/>
  <c r="ED7" i="2" s="1"/>
  <c r="EO7" i="2" s="1"/>
  <c r="FJ7" i="2" s="1" a="1"/>
  <c r="FJ7" i="2" s="1"/>
  <c r="ED8" i="2" a="1"/>
  <c r="ED8" i="2" s="1"/>
  <c r="EO8" i="2" s="1"/>
  <c r="FJ8" i="2" s="1" a="1"/>
  <c r="FJ8" i="2" s="1"/>
  <c r="ED3" i="2" a="1"/>
  <c r="ED3" i="2" s="1"/>
  <c r="EO3" i="2" s="1"/>
  <c r="FJ3" i="2" s="1" a="1"/>
  <c r="FJ3" i="2" s="1"/>
  <c r="EC6" i="2" a="1"/>
  <c r="EC6" i="2" s="1"/>
  <c r="EN6" i="2" s="1"/>
  <c r="FI6" i="2" s="1" a="1"/>
  <c r="FI6" i="2" s="1"/>
  <c r="EC5" i="2" a="1"/>
  <c r="EC5" i="2" s="1"/>
  <c r="EN5" i="2" s="1"/>
  <c r="FI5" i="2" s="1" a="1"/>
  <c r="FI5" i="2" s="1"/>
  <c r="ED4" i="2" a="1"/>
  <c r="ED4" i="2" s="1"/>
  <c r="EO4" i="2" s="1"/>
  <c r="FJ4" i="2" s="1" a="1"/>
  <c r="FJ4" i="2" s="1"/>
  <c r="ED9" i="2" a="1"/>
  <c r="ED9" i="2" s="1"/>
  <c r="EO9" i="2" s="1"/>
  <c r="FJ9" i="2" s="1" a="1"/>
  <c r="FJ9" i="2" s="1"/>
  <c r="AY4" i="2" a="1"/>
  <c r="AY4" i="2" s="1"/>
  <c r="DK7" i="2" a="1"/>
  <c r="DK7" i="2" s="1"/>
  <c r="BS7" i="2"/>
  <c r="AP7" i="2" a="1"/>
  <c r="AP7" i="2" s="1"/>
  <c r="BI7" i="2"/>
  <c r="CG7" i="2" s="1" a="1"/>
  <c r="CG7" i="2" s="1"/>
  <c r="CQ7" i="2" s="1" a="1"/>
  <c r="CQ7" i="2" s="1"/>
  <c r="DA7" i="2" s="1"/>
  <c r="DU7" i="2" a="1"/>
  <c r="DU7" i="2" s="1"/>
  <c r="BI4" i="2"/>
  <c r="CG4" i="2" s="1" a="1"/>
  <c r="CG4" i="2" s="1"/>
  <c r="CQ4" i="2" s="1" a="1"/>
  <c r="CQ4" i="2" s="1"/>
  <c r="DA4" i="2" s="1"/>
  <c r="AP4" i="2" a="1"/>
  <c r="AP4" i="2" s="1"/>
  <c r="BS4" i="2"/>
  <c r="DK4" i="2" a="1"/>
  <c r="DK4" i="2" s="1"/>
  <c r="DU4" i="2" a="1"/>
  <c r="DU4" i="2" s="1"/>
  <c r="BH6" i="2"/>
  <c r="CF6" i="2" s="1" a="1"/>
  <c r="CF6" i="2" s="1"/>
  <c r="CP6" i="2" s="1" a="1"/>
  <c r="CP6" i="2" s="1"/>
  <c r="CZ6" i="2" s="1"/>
  <c r="DJ6" i="2" a="1"/>
  <c r="DJ6" i="2" s="1"/>
  <c r="BR6" i="2"/>
  <c r="AO6" i="2" a="1"/>
  <c r="AO6" i="2" s="1"/>
  <c r="DT6" i="2" a="1"/>
  <c r="DT6" i="2" s="1"/>
  <c r="BS3" i="2"/>
  <c r="AP3" i="2" a="1"/>
  <c r="AP3" i="2" s="1"/>
  <c r="DK3" i="2" a="1"/>
  <c r="DK3" i="2" s="1"/>
  <c r="BI3" i="2"/>
  <c r="CG3" i="2" s="1" a="1"/>
  <c r="CG3" i="2" s="1"/>
  <c r="CQ3" i="2" s="1" a="1"/>
  <c r="CQ3" i="2" s="1"/>
  <c r="DA3" i="2" s="1"/>
  <c r="DU3" i="2" a="1"/>
  <c r="DU3" i="2" s="1"/>
  <c r="AZ9" i="2" a="1"/>
  <c r="AZ9" i="2" s="1"/>
  <c r="FA9" i="2" s="1"/>
  <c r="BS9" i="2"/>
  <c r="AP9" i="2" a="1"/>
  <c r="AP9" i="2" s="1"/>
  <c r="DK9" i="2" a="1"/>
  <c r="DK9" i="2" s="1"/>
  <c r="BI9" i="2"/>
  <c r="CG9" i="2" s="1" a="1"/>
  <c r="CG9" i="2" s="1"/>
  <c r="CQ9" i="2" s="1" a="1"/>
  <c r="CQ9" i="2" s="1"/>
  <c r="DA9" i="2" s="1"/>
  <c r="DU9" i="2" a="1"/>
  <c r="DU9" i="2" s="1"/>
  <c r="AO5" i="2" a="1"/>
  <c r="AO5" i="2" s="1"/>
  <c r="DJ5" i="2" a="1"/>
  <c r="DJ5" i="2" s="1"/>
  <c r="BH5" i="2"/>
  <c r="CF5" i="2" s="1" a="1"/>
  <c r="CF5" i="2" s="1"/>
  <c r="CP5" i="2" s="1" a="1"/>
  <c r="CP5" i="2" s="1"/>
  <c r="CZ5" i="2" s="1"/>
  <c r="BR5" i="2"/>
  <c r="DT5" i="2" a="1"/>
  <c r="DT5" i="2" s="1"/>
  <c r="EZ9" i="2"/>
  <c r="AY7" i="2" a="1"/>
  <c r="AY7" i="2" s="1"/>
  <c r="AZ3" i="2" a="1"/>
  <c r="AZ3" i="2" s="1"/>
  <c r="AZ5" i="2" a="1"/>
  <c r="AZ5" i="2" s="1"/>
  <c r="AZ8" i="2" a="1"/>
  <c r="AZ8" i="2" s="1"/>
  <c r="FA8" i="2" s="1"/>
  <c r="AP8" i="2" a="1"/>
  <c r="AP8" i="2" s="1"/>
  <c r="BS8" i="2"/>
  <c r="DK8" i="2" a="1"/>
  <c r="DK8" i="2" s="1"/>
  <c r="BI8" i="2"/>
  <c r="CG8" i="2" s="1" a="1"/>
  <c r="CG8" i="2" s="1"/>
  <c r="CQ8" i="2" s="1" a="1"/>
  <c r="CQ8" i="2" s="1"/>
  <c r="DA8" i="2" s="1"/>
  <c r="DU8" i="2" a="1"/>
  <c r="DU8" i="2" s="1"/>
  <c r="AZ6" i="2" a="1"/>
  <c r="AZ6" i="2" s="1"/>
  <c r="EZ5" i="2"/>
  <c r="EZ8" i="2"/>
  <c r="ED5" i="2" l="1" a="1"/>
  <c r="ED5" i="2" s="1"/>
  <c r="EO5" i="2" s="1"/>
  <c r="FJ5" i="2" s="1" a="1"/>
  <c r="FJ5" i="2" s="1"/>
  <c r="EE4" i="2" a="1"/>
  <c r="EE4" i="2" s="1"/>
  <c r="EP4" i="2" s="1"/>
  <c r="EE8" i="2" a="1"/>
  <c r="EE8" i="2" s="1"/>
  <c r="EP8" i="2" s="1"/>
  <c r="FK8" i="2" s="1" a="1"/>
  <c r="FK8" i="2" s="1"/>
  <c r="ED6" i="2" a="1"/>
  <c r="ED6" i="2" s="1"/>
  <c r="EO6" i="2" s="1"/>
  <c r="FJ6" i="2" s="1" a="1"/>
  <c r="FJ6" i="2" s="1"/>
  <c r="EE9" i="2" a="1"/>
  <c r="EE9" i="2" s="1"/>
  <c r="EP9" i="2" s="1"/>
  <c r="FK9" i="2" s="1" a="1"/>
  <c r="FK9" i="2" s="1"/>
  <c r="EE7" i="2" a="1"/>
  <c r="EE7" i="2" s="1"/>
  <c r="EP7" i="2" s="1"/>
  <c r="EE3" i="2" a="1"/>
  <c r="EE3" i="2" s="1"/>
  <c r="EP3" i="2" s="1"/>
  <c r="FK3" i="2" s="1" a="1"/>
  <c r="FK3" i="2" s="1"/>
  <c r="BA6" i="2" a="1"/>
  <c r="BA6" i="2" s="1"/>
  <c r="FB6" i="2" s="1"/>
  <c r="BT9" i="2"/>
  <c r="AQ9" i="2" a="1"/>
  <c r="AQ9" i="2" s="1"/>
  <c r="DL9" i="2" a="1"/>
  <c r="DL9" i="2" s="1"/>
  <c r="BJ9" i="2"/>
  <c r="CH9" i="2" s="1" a="1"/>
  <c r="CH9" i="2" s="1"/>
  <c r="CR9" i="2" s="1" a="1"/>
  <c r="CR9" i="2" s="1"/>
  <c r="DB9" i="2" s="1"/>
  <c r="DV9" i="2" a="1"/>
  <c r="DV9" i="2" s="1"/>
  <c r="FA6" i="2"/>
  <c r="BT8" i="2"/>
  <c r="BJ8" i="2"/>
  <c r="CH8" i="2" s="1" a="1"/>
  <c r="CH8" i="2" s="1"/>
  <c r="CR8" i="2" s="1" a="1"/>
  <c r="CR8" i="2" s="1"/>
  <c r="DB8" i="2" s="1"/>
  <c r="DL8" i="2" a="1"/>
  <c r="DL8" i="2" s="1"/>
  <c r="AQ8" i="2" a="1"/>
  <c r="AQ8" i="2" s="1"/>
  <c r="DV8" i="2" a="1"/>
  <c r="DV8" i="2" s="1"/>
  <c r="AZ4" i="2" a="1"/>
  <c r="AZ4" i="2" s="1"/>
  <c r="FA4" i="2" s="1"/>
  <c r="BA8" i="2" a="1"/>
  <c r="BA8" i="2" s="1"/>
  <c r="FB8" i="2" s="1"/>
  <c r="AZ7" i="2" a="1"/>
  <c r="AZ7" i="2" s="1"/>
  <c r="FA7" i="2" s="1"/>
  <c r="EZ4" i="2"/>
  <c r="AP5" i="2" a="1"/>
  <c r="AP5" i="2" s="1"/>
  <c r="BS5" i="2"/>
  <c r="BI5" i="2"/>
  <c r="CG5" i="2" s="1" a="1"/>
  <c r="CG5" i="2" s="1"/>
  <c r="CQ5" i="2" s="1" a="1"/>
  <c r="CQ5" i="2" s="1"/>
  <c r="DA5" i="2" s="1"/>
  <c r="DK5" i="2" a="1"/>
  <c r="DK5" i="2" s="1"/>
  <c r="DU5" i="2" a="1"/>
  <c r="DU5" i="2" s="1"/>
  <c r="AQ7" i="2" a="1"/>
  <c r="AQ7" i="2" s="1"/>
  <c r="BJ7" i="2"/>
  <c r="CH7" i="2" s="1" a="1"/>
  <c r="CH7" i="2" s="1"/>
  <c r="CR7" i="2" s="1" a="1"/>
  <c r="CR7" i="2" s="1"/>
  <c r="DB7" i="2" s="1"/>
  <c r="BT7" i="2"/>
  <c r="DL7" i="2" a="1"/>
  <c r="DL7" i="2" s="1"/>
  <c r="DV7" i="2" a="1"/>
  <c r="DV7" i="2" s="1"/>
  <c r="BT4" i="2"/>
  <c r="AQ4" i="2" a="1"/>
  <c r="AQ4" i="2" s="1"/>
  <c r="DL4" i="2" a="1"/>
  <c r="DL4" i="2" s="1"/>
  <c r="BJ4" i="2"/>
  <c r="CH4" i="2" s="1" a="1"/>
  <c r="CH4" i="2" s="1"/>
  <c r="CR4" i="2" s="1" a="1"/>
  <c r="CR4" i="2" s="1"/>
  <c r="DB4" i="2" s="1"/>
  <c r="DV4" i="2" a="1"/>
  <c r="DV4" i="2" s="1"/>
  <c r="BA5" i="2" a="1"/>
  <c r="BA5" i="2" s="1"/>
  <c r="FB5" i="2" s="1"/>
  <c r="BA9" i="2" a="1"/>
  <c r="BA9" i="2" s="1"/>
  <c r="FB9" i="2" s="1"/>
  <c r="DL3" i="2" a="1"/>
  <c r="DL3" i="2" s="1"/>
  <c r="BJ3" i="2"/>
  <c r="CH3" i="2" s="1" a="1"/>
  <c r="CH3" i="2" s="1"/>
  <c r="CR3" i="2" s="1" a="1"/>
  <c r="CR3" i="2" s="1"/>
  <c r="DB3" i="2" s="1"/>
  <c r="BT3" i="2"/>
  <c r="AQ3" i="2" a="1"/>
  <c r="AQ3" i="2" s="1"/>
  <c r="DV3" i="2" a="1"/>
  <c r="DV3" i="2" s="1"/>
  <c r="EZ7" i="2"/>
  <c r="AP6" i="2" a="1"/>
  <c r="AP6" i="2" s="1"/>
  <c r="BI6" i="2"/>
  <c r="CG6" i="2" s="1" a="1"/>
  <c r="CG6" i="2" s="1"/>
  <c r="CQ6" i="2" s="1" a="1"/>
  <c r="CQ6" i="2" s="1"/>
  <c r="DA6" i="2" s="1"/>
  <c r="BS6" i="2"/>
  <c r="DK6" i="2" a="1"/>
  <c r="DK6" i="2" s="1"/>
  <c r="DU6" i="2" a="1"/>
  <c r="DU6" i="2" s="1"/>
  <c r="FA5" i="2"/>
  <c r="BA3" i="2" a="1"/>
  <c r="BA3" i="2" s="1"/>
  <c r="FB3" i="2" s="1"/>
  <c r="FA3" i="2"/>
  <c r="FK4" i="2" l="1" a="1"/>
  <c r="FK4" i="2" s="1"/>
  <c r="EF9" i="2" a="1"/>
  <c r="EF9" i="2" s="1"/>
  <c r="EQ9" i="2" s="1"/>
  <c r="FL9" i="2" s="1" a="1"/>
  <c r="FL9" i="2" s="1"/>
  <c r="EF4" i="2" a="1"/>
  <c r="EF4" i="2" s="1"/>
  <c r="EQ4" i="2" s="1"/>
  <c r="FL4" i="2" s="1" a="1"/>
  <c r="FL4" i="2" s="1"/>
  <c r="EF7" i="2" a="1"/>
  <c r="EF7" i="2" s="1"/>
  <c r="EQ7" i="2" s="1"/>
  <c r="FL7" i="2" s="1" a="1"/>
  <c r="FL7" i="2" s="1"/>
  <c r="EE6" i="2" a="1"/>
  <c r="EE6" i="2" s="1"/>
  <c r="EP6" i="2" s="1"/>
  <c r="FK6" i="2" s="1" a="1"/>
  <c r="FK6" i="2" s="1"/>
  <c r="FK7" i="2" a="1"/>
  <c r="FK7" i="2" s="1"/>
  <c r="EF8" i="2" a="1"/>
  <c r="EF8" i="2" s="1"/>
  <c r="EQ8" i="2" s="1"/>
  <c r="FL8" i="2" s="1" a="1"/>
  <c r="FL8" i="2" s="1"/>
  <c r="EE5" i="2" a="1"/>
  <c r="EE5" i="2" s="1"/>
  <c r="EP5" i="2" s="1"/>
  <c r="FK5" i="2" s="1" a="1"/>
  <c r="FK5" i="2" s="1"/>
  <c r="AQ6" i="2" a="1"/>
  <c r="AQ6" i="2" s="1"/>
  <c r="BT6" i="2"/>
  <c r="DL6" i="2" a="1"/>
  <c r="DL6" i="2" s="1"/>
  <c r="BJ6" i="2"/>
  <c r="CH6" i="2" s="1" a="1"/>
  <c r="CH6" i="2" s="1"/>
  <c r="CR6" i="2" s="1" a="1"/>
  <c r="CR6" i="2" s="1"/>
  <c r="DB6" i="2" s="1"/>
  <c r="DV6" i="2" a="1"/>
  <c r="DV6" i="2" s="1"/>
  <c r="BK4" i="2"/>
  <c r="CI4" i="2" s="1" a="1"/>
  <c r="CI4" i="2" s="1"/>
  <c r="CS4" i="2" s="1" a="1"/>
  <c r="CS4" i="2" s="1"/>
  <c r="DC4" i="2" s="1"/>
  <c r="BU4" i="2"/>
  <c r="DM4" i="2" a="1"/>
  <c r="DM4" i="2" s="1"/>
  <c r="DW4" i="2" a="1"/>
  <c r="DW4" i="2" s="1"/>
  <c r="DM7" i="2" a="1"/>
  <c r="DM7" i="2" s="1"/>
  <c r="BU7" i="2"/>
  <c r="BK7" i="2"/>
  <c r="CI7" i="2" s="1" a="1"/>
  <c r="CI7" i="2" s="1"/>
  <c r="CS7" i="2" s="1" a="1"/>
  <c r="CS7" i="2" s="1"/>
  <c r="DC7" i="2" s="1"/>
  <c r="DW7" i="2" a="1"/>
  <c r="DW7" i="2" s="1"/>
  <c r="BK8" i="2"/>
  <c r="CI8" i="2" s="1" a="1"/>
  <c r="CI8" i="2" s="1"/>
  <c r="CS8" i="2" s="1" a="1"/>
  <c r="CS8" i="2" s="1"/>
  <c r="DC8" i="2" s="1"/>
  <c r="BU8" i="2"/>
  <c r="DM8" i="2" a="1"/>
  <c r="DM8" i="2" s="1"/>
  <c r="DW8" i="2" a="1"/>
  <c r="DW8" i="2" s="1"/>
  <c r="BU9" i="2"/>
  <c r="DM9" i="2" a="1"/>
  <c r="DM9" i="2" s="1"/>
  <c r="BK9" i="2"/>
  <c r="CI9" i="2" s="1" a="1"/>
  <c r="CI9" i="2" s="1"/>
  <c r="CS9" i="2" s="1" a="1"/>
  <c r="CS9" i="2" s="1"/>
  <c r="DC9" i="2" s="1"/>
  <c r="DW9" i="2" a="1"/>
  <c r="DW9" i="2" s="1"/>
  <c r="EF3" i="2" a="1"/>
  <c r="EF3" i="2" s="1"/>
  <c r="DL5" i="2" a="1"/>
  <c r="DL5" i="2" s="1"/>
  <c r="BJ5" i="2"/>
  <c r="CH5" i="2" s="1" a="1"/>
  <c r="CH5" i="2" s="1"/>
  <c r="CR5" i="2" s="1" a="1"/>
  <c r="CR5" i="2" s="1"/>
  <c r="DB5" i="2" s="1"/>
  <c r="AQ5" i="2" a="1"/>
  <c r="AQ5" i="2" s="1"/>
  <c r="BT5" i="2"/>
  <c r="DV5" i="2" a="1"/>
  <c r="DV5" i="2" s="1"/>
  <c r="BA7" i="2" a="1"/>
  <c r="BA7" i="2" s="1"/>
  <c r="FB7" i="2" s="1"/>
  <c r="BU3" i="2"/>
  <c r="DM3" i="2" a="1"/>
  <c r="DM3" i="2" s="1"/>
  <c r="BK3" i="2"/>
  <c r="CI3" i="2" s="1" a="1"/>
  <c r="CI3" i="2" s="1"/>
  <c r="CS3" i="2" s="1" a="1"/>
  <c r="CS3" i="2" s="1"/>
  <c r="DC3" i="2" s="1"/>
  <c r="DW3" i="2" a="1"/>
  <c r="DW3" i="2" s="1"/>
  <c r="BA4" i="2" a="1"/>
  <c r="BA4" i="2" s="1"/>
  <c r="FB4" i="2" s="1"/>
  <c r="EF6" i="2" l="1" a="1"/>
  <c r="EF6" i="2" s="1"/>
  <c r="EQ6" i="2" s="1"/>
  <c r="FL6" i="2" s="1" a="1"/>
  <c r="FL6" i="2" s="1"/>
  <c r="EG7" i="2" a="1"/>
  <c r="EG7" i="2" s="1"/>
  <c r="EH7" i="2" s="1"/>
  <c r="EG8" i="2" a="1"/>
  <c r="EG8" i="2" s="1"/>
  <c r="EH8" i="2" s="1"/>
  <c r="EG4" i="2" a="1"/>
  <c r="EG4" i="2" s="1"/>
  <c r="EH4" i="2" s="1"/>
  <c r="EG9" i="2" a="1"/>
  <c r="EG9" i="2" s="1"/>
  <c r="EH9" i="2" s="1"/>
  <c r="EF5" i="2" a="1"/>
  <c r="EF5" i="2" s="1"/>
  <c r="EQ5" i="2" s="1"/>
  <c r="FL5" i="2" s="1" a="1"/>
  <c r="FL5" i="2" s="1"/>
  <c r="BU5" i="2"/>
  <c r="DM5" i="2" a="1"/>
  <c r="DM5" i="2" s="1"/>
  <c r="BK5" i="2"/>
  <c r="CI5" i="2" s="1" a="1"/>
  <c r="CI5" i="2" s="1"/>
  <c r="CS5" i="2" s="1" a="1"/>
  <c r="CS5" i="2" s="1"/>
  <c r="DC5" i="2" s="1"/>
  <c r="DW5" i="2" a="1"/>
  <c r="DW5" i="2" s="1"/>
  <c r="DM6" i="2" a="1"/>
  <c r="DM6" i="2" s="1"/>
  <c r="BK6" i="2"/>
  <c r="CI6" i="2" s="1" a="1"/>
  <c r="CI6" i="2" s="1"/>
  <c r="CS6" i="2" s="1" a="1"/>
  <c r="CS6" i="2" s="1"/>
  <c r="DC6" i="2" s="1"/>
  <c r="BU6" i="2"/>
  <c r="DW6" i="2" a="1"/>
  <c r="DW6" i="2" s="1"/>
  <c r="EQ3" i="2"/>
  <c r="FL3" i="2" s="1" a="1"/>
  <c r="FL3" i="2" s="1"/>
  <c r="EG3" i="2" a="1"/>
  <c r="EG3" i="2" s="1"/>
  <c r="EH3" i="2" s="1"/>
  <c r="EG5" i="2" l="1" a="1"/>
  <c r="EG5" i="2" s="1"/>
  <c r="EH5" i="2" s="1"/>
  <c r="ER8" i="2"/>
  <c r="FM8" i="2" s="1" a="1"/>
  <c r="FM8" i="2" s="1"/>
  <c r="FN8" i="2" s="1"/>
  <c r="FP8" i="2" s="1"/>
  <c r="FQ8" i="2" s="1"/>
  <c r="FV8" i="2" s="1"/>
  <c r="FW8" i="2" s="1"/>
  <c r="ER7" i="2"/>
  <c r="FM7" i="2" s="1" a="1"/>
  <c r="FM7" i="2" s="1"/>
  <c r="FN7" i="2" s="1"/>
  <c r="FP7" i="2" s="1"/>
  <c r="FQ7" i="2" s="1"/>
  <c r="FV7" i="2" s="1"/>
  <c r="FW7" i="2" s="1"/>
  <c r="ER4" i="2"/>
  <c r="FM4" i="2" s="1" a="1"/>
  <c r="FM4" i="2" s="1"/>
  <c r="FN4" i="2" s="1"/>
  <c r="FP4" i="2" s="1"/>
  <c r="FQ4" i="2" s="1"/>
  <c r="FV4" i="2" s="1"/>
  <c r="FW4" i="2" s="1"/>
  <c r="EG6" i="2" a="1"/>
  <c r="EG6" i="2" s="1"/>
  <c r="EH6" i="2" s="1"/>
  <c r="ER9" i="2"/>
  <c r="FM9" i="2" s="1" a="1"/>
  <c r="FM9" i="2" s="1"/>
  <c r="FN9" i="2" s="1"/>
  <c r="FP9" i="2" s="1"/>
  <c r="FQ9" i="2" s="1"/>
  <c r="FV9" i="2" s="1"/>
  <c r="FW9" i="2" s="1"/>
  <c r="ER3" i="2"/>
  <c r="FM3" i="2" s="1" a="1"/>
  <c r="FM3" i="2" s="1"/>
  <c r="FN3" i="2" s="1"/>
  <c r="ER5" i="2" l="1"/>
  <c r="FM5" i="2" s="1" a="1"/>
  <c r="FM5" i="2" s="1"/>
  <c r="FN5" i="2" s="1"/>
  <c r="FP5" i="2" s="1"/>
  <c r="FQ5" i="2" s="1"/>
  <c r="FV5" i="2" s="1"/>
  <c r="FW5" i="2" s="1"/>
  <c r="ER6" i="2"/>
  <c r="FM6" i="2" s="1" a="1"/>
  <c r="FM6" i="2" s="1"/>
  <c r="FN6" i="2" s="1"/>
  <c r="FP6" i="2" s="1"/>
  <c r="FQ6" i="2" s="1"/>
  <c r="FV6" i="2" s="1"/>
  <c r="FW6" i="2" s="1"/>
  <c r="FP3" i="2"/>
  <c r="FQ3" i="2" s="1"/>
  <c r="FV3" i="2" s="1"/>
  <c r="FW3" i="2" s="1"/>
  <c r="G1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X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E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G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H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<sst xmlns="http://schemas.openxmlformats.org/spreadsheetml/2006/main" count="1323" uniqueCount="263">
  <si>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</si>
  <si>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</si>
  <si>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</si>
  <si>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</si>
  <si>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</si>
  <si>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</si>
  <si>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</si>
  <si>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</si>
  <si>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</si>
  <si>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</si>
  <si>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</si>
  <si>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</si>
  <si>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</si>
  <si>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</si>
  <si>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</si>
  <si>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</si>
  <si>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</si>
  <si>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</si>
  <si>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</si>
  <si>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</si>
  <si>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</si>
  <si>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</si>
  <si>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</si>
  <si>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</si>
  <si>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</si>
  <si>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</si>
  <si>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</si>
  <si>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</si>
  <si>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</si>
  <si>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</si>
  <si>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</si>
  <si>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</si>
  <si>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</si>
  <si>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</si>
  <si>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</si>
  <si>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</si>
  <si>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</si>
  <si>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</si>
  <si>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</si>
  <si>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</si>
  <si>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</si>
  <si>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</si>
  <si>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</si>
  <si>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</si>
  <si>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</si>
  <si>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</si>
  <si>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</si>
  <si>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</si>
  <si>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bpr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</si>
  <si>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</si>
  <si>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</si>
  <si>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</si>
  <si>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</si>
  <si>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</si>
  <si>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</si>
  <si>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</si>
  <si>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</si>
  <si>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</si>
  <si>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</si>
  <si>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</si>
  <si>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</si>
  <si>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</si>
  <si>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</si>
  <si>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slst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</si>
  <si>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</si>
  <si>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</si>
  <si>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</si>
  <si>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</si>
  <si>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</si>
  <si>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</si>
  <si>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</si>
  <si>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</si>
  <si>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</si>
  <si>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</si>
  <si>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</si>
  <si>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</si>
  <si>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</si>
  <si>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</si>
  <si>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</si>
  <si>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</si>
  <si>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</si>
  <si>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</si>
  <si>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</si>
  <si>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</si>
  <si>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</si>
  <si>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</si>
  <si>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</si>
  <si>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</si>
  <si>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</si>
  <si>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</si>
  <si>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</si>
  <si>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</si>
  <si>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</si>
  <si>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</si>
  <si>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</si>
  <si>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</si>
  <si>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</si>
  <si>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</si>
  <si>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</si>
  <si>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</si>
  <si>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</si>
  <si>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</si>
  <si>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</si>
  <si>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</si>
  <si>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</si>
  <si>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</si>
  <si>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</si>
  <si>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</si>
  <si>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</si>
  <si>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</si>
  <si>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</si>
  <si>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</si>
  <si>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</si>
  <si>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</si>
  <si>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</si>
  <si>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</si>
  <si>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</si>
  <si>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</si>
  <si>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</si>
  <si>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</si>
  <si>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</si>
  <si>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</si>
  <si>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</si>
  <si>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</si>
  <si>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</si>
  <si>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</si>
  <si>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</si>
  <si>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</si>
  <si>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</si>
  <si>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</si>
  <si>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</si>
  <si>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</si>
  <si>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</si>
  <si>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</si>
  <si>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</si>
  <si>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</si>
  <si>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</si>
  <si>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</si>
  <si>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</si>
  <si>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</si>
  <si>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</si>
  <si>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</si>
  <si>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</si>
  <si>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</si>
  <si>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</si>
  <si>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</si>
  <si>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</si>
  <si>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</si>
  <si>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</si>
  <si>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</si>
  <si>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</si>
  <si>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</si>
  <si>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</si>
  <si>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</si>
  <si>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</si>
  <si>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</si>
  <si>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</si>
  <si>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</si>
  <si>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</si>
  <si>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</si>
  <si>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</si>
  <si>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</si>
  <si>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</si>
  <si>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</si>
  <si>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</si>
  <si>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</si>
  <si>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</si>
  <si>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</si>
  <si>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</si>
  <si>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</si>
  <si>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</si>
  <si>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</si>
  <si>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</si>
  <si>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</si>
  <si>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</si>
  <si>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</si>
  <si>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</si>
  <si>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</si>
  <si>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name</t>
  </si>
  <si>
    <t>eng</t>
  </si>
  <si>
    <t>n</t>
  </si>
  <si>
    <t>S_flaps</t>
  </si>
  <si>
    <t>MASS &amp; WEIGHT</t>
  </si>
  <si>
    <t>WING AREA</t>
  </si>
  <si>
    <t>S_total</t>
  </si>
  <si>
    <t>cD0_total</t>
  </si>
  <si>
    <t>CL</t>
  </si>
  <si>
    <t>LIFT-DEPENDENT DRAG COEFF.</t>
  </si>
  <si>
    <t>CD</t>
  </si>
  <si>
    <t>RATIOS</t>
  </si>
  <si>
    <t>SPEEDS</t>
  </si>
  <si>
    <t>DYNAMIC PRESSURE</t>
  </si>
  <si>
    <t>LIFT-INDEPENDENT DRAG COEFF.</t>
  </si>
  <si>
    <t>THRUST</t>
  </si>
  <si>
    <t>LIFT IN N</t>
  </si>
  <si>
    <t>DRAG IN N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</si>
  <si>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</si>
  <si>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</si>
  <si>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</si>
  <si>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</si>
  <si>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</si>
  <si>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</si>
  <si>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Wing area</t>
  </si>
  <si>
    <t>Excl. flaps</t>
  </si>
  <si>
    <t>Flap angle</t>
  </si>
  <si>
    <t>Radians</t>
  </si>
  <si>
    <t>Diff. (m)</t>
  </si>
  <si>
    <t>Value</t>
  </si>
  <si>
    <t>Setting</t>
  </si>
  <si>
    <t>Solver</t>
  </si>
  <si>
    <t>Min</t>
  </si>
  <si>
    <t>Avg</t>
  </si>
  <si>
    <t>Max</t>
  </si>
  <si>
    <t>Blake</t>
  </si>
  <si>
    <t>ratio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</si>
  <si>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</si>
  <si>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</si>
  <si>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</si>
  <si>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</si>
  <si>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</si>
  <si>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</si>
  <si>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</si>
  <si>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</si>
  <si>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</si>
  <si>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</si>
  <si>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</si>
  <si>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</si>
  <si>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</si>
  <si>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</si>
  <si>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</si>
  <si>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AIRCRAFT DATA (FROM SUN ET AL., 2020)</t>
  </si>
  <si>
    <t>m_broad</t>
  </si>
  <si>
    <t>m_narrow</t>
  </si>
  <si>
    <t>h</t>
  </si>
  <si>
    <t>h1</t>
  </si>
  <si>
    <t>angle</t>
  </si>
  <si>
    <t>degrees</t>
  </si>
  <si>
    <t>distance</t>
  </si>
  <si>
    <t>Filippone p. 35</t>
  </si>
  <si>
    <t>Alternatively, trig:</t>
  </si>
  <si>
    <t>Height in ft</t>
  </si>
  <si>
    <t>Top angle</t>
  </si>
  <si>
    <t>Climb angle</t>
  </si>
  <si>
    <t>Distance</t>
  </si>
  <si>
    <t>ft</t>
  </si>
  <si>
    <t>Gratton:</t>
  </si>
  <si>
    <t>as seen on</t>
  </si>
  <si>
    <t>https://www.omnicalculator.com/math/law-of-sines</t>
  </si>
  <si>
    <t>https://www.calculator.net/triangle-calculator.html?vc=&amp;vx=&amp;vy=35&amp;va=7.7&amp;vz=&amp;vb=90&amp;angleunits=d&amp;x=84&amp;y=14</t>
  </si>
  <si>
    <t>Roksam</t>
  </si>
  <si>
    <t>% range</t>
  </si>
  <si>
    <t>kg range</t>
  </si>
  <si>
    <t>pax capacity</t>
  </si>
  <si>
    <t>pax weight</t>
  </si>
  <si>
    <t>NB</t>
  </si>
  <si>
    <t>WB</t>
  </si>
  <si>
    <t>Tolerable removal</t>
  </si>
  <si>
    <t>Best-case BELF</t>
  </si>
  <si>
    <t>Minimum tom</t>
  </si>
  <si>
    <t>m_above_belf</t>
  </si>
  <si>
    <t>min</t>
  </si>
  <si>
    <t>max</t>
  </si>
  <si>
    <t>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</si>
</sst>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0.0"/>
    <numFmt numFmtId="170" formatCode="0.000"/>
    <numFmt numFmtId="172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4" applyNumberFormat="0" applyAlignment="0" applyProtection="0"/>
    <xf numFmtId="0" fontId="10" fillId="7" borderId="5" applyNumberFormat="0" applyAlignment="0" applyProtection="0"/>
    <xf numFmtId="0" fontId="11" fillId="7" borderId="4" applyNumberFormat="0" applyAlignment="0" applyProtection="0"/>
    <xf numFmtId="0" fontId="12" fillId="0" borderId="6" applyNumberFormat="0" applyFill="0" applyAlignment="0" applyProtection="0"/>
    <xf numFmtId="0" fontId="13" fillId="8" borderId="7" applyNumberFormat="0" applyAlignment="0" applyProtection="0"/>
    <xf numFmtId="0" fontId="14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7">
    <xf numFmtId="0" fontId="0" fillId="0" borderId="0" xfId="0"/>
    <xf numFmtId="0" fontId="0" fillId="2" borderId="0" xfId="0" applyFill="1"/>
    <xf numFmtId="43" fontId="0" fillId="0" borderId="0" xfId="0" applyNumberFormat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68" fontId="0" fillId="0" borderId="0" xfId="1" applyNumberFormat="1" applyFont="1"/>
    <xf numFmtId="165" fontId="0" fillId="0" borderId="0" xfId="0" applyNumberFormat="1"/>
    <xf numFmtId="43" fontId="0" fillId="0" borderId="0" xfId="1" applyFont="1"/>
    <xf numFmtId="0" fontId="16" fillId="0" borderId="0" xfId="0" applyFont="1"/>
    <xf numFmtId="0" fontId="16" fillId="2" borderId="0" xfId="0" applyFont="1" applyFill="1" applyAlignment="1">
      <alignment horizontal="centerContinuous"/>
    </xf>
    <xf numFmtId="165" fontId="16" fillId="2" borderId="0" xfId="1" applyNumberFormat="1" applyFont="1" applyFill="1" applyAlignment="1">
      <alignment horizontal="centerContinuous"/>
    </xf>
    <xf numFmtId="43" fontId="16" fillId="2" borderId="0" xfId="1" applyNumberFormat="1" applyFont="1" applyFill="1" applyAlignment="1">
      <alignment horizontal="centerContinuous"/>
    </xf>
    <xf numFmtId="164" fontId="16" fillId="0" borderId="0" xfId="1" applyNumberFormat="1" applyFont="1"/>
    <xf numFmtId="165" fontId="16" fillId="0" borderId="0" xfId="1" applyNumberFormat="1" applyFont="1"/>
    <xf numFmtId="10" fontId="16" fillId="0" borderId="0" xfId="2" applyNumberFormat="1" applyFont="1"/>
    <xf numFmtId="43" fontId="16" fillId="34" borderId="0" xfId="1" applyNumberFormat="1" applyFont="1" applyFill="1" applyAlignment="1">
      <alignment horizontal="centerContinuous"/>
    </xf>
    <xf numFmtId="43" fontId="16" fillId="35" borderId="0" xfId="1" applyNumberFormat="1" applyFont="1" applyFill="1" applyAlignment="1">
      <alignment horizontal="centerContinuous"/>
    </xf>
    <xf numFmtId="43" fontId="16" fillId="36" borderId="0" xfId="1" applyNumberFormat="1" applyFont="1" applyFill="1" applyAlignment="1">
      <alignment horizontal="centerContinuous"/>
    </xf>
    <xf numFmtId="164" fontId="16" fillId="36" borderId="0" xfId="1" applyNumberFormat="1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"/>
    </xf>
    <xf numFmtId="164" fontId="16" fillId="2" borderId="0" xfId="1" applyNumberFormat="1" applyFont="1" applyFill="1" applyAlignment="1">
      <alignment horizontal="centerContinuous"/>
    </xf>
    <xf numFmtId="2" fontId="0" fillId="0" borderId="0" xfId="1" applyNumberFormat="1" applyFont="1"/>
    <xf numFmtId="169" fontId="0" fillId="0" borderId="0" xfId="1" applyNumberFormat="1" applyFont="1"/>
    <xf numFmtId="1" fontId="0" fillId="0" borderId="0" xfId="1" applyNumberFormat="1" applyFont="1"/>
    <xf numFmtId="170" fontId="0" fillId="0" borderId="0" xfId="1" applyNumberFormat="1" applyFont="1"/>
    <xf numFmtId="164" fontId="16" fillId="35" borderId="0" xfId="1" applyNumberFormat="1" applyFont="1" applyFill="1" applyAlignment="1">
      <alignment horizontal="centerContinuous"/>
    </xf>
    <xf numFmtId="0" fontId="16" fillId="34" borderId="0" xfId="0" applyFont="1" applyFill="1" applyAlignment="1">
      <alignment horizontal="centerContinuous"/>
    </xf>
    <xf numFmtId="165" fontId="16" fillId="34" borderId="0" xfId="1" applyNumberFormat="1" applyFont="1" applyFill="1" applyAlignment="1">
      <alignment horizontal="centerContinuous"/>
    </xf>
    <xf numFmtId="165" fontId="16" fillId="36" borderId="0" xfId="1" applyNumberFormat="1" applyFont="1" applyFill="1" applyAlignment="1">
      <alignment horizontal="centerContinuous"/>
    </xf>
    <xf numFmtId="166" fontId="16" fillId="35" borderId="0" xfId="1" applyNumberFormat="1" applyFont="1" applyFill="1" applyAlignment="1">
      <alignment horizontal="centerContinuous"/>
    </xf>
    <xf numFmtId="165" fontId="16" fillId="35" borderId="0" xfId="1" applyNumberFormat="1" applyFont="1" applyFill="1" applyAlignment="1">
      <alignment horizontal="centerContinuous"/>
    </xf>
    <xf numFmtId="9" fontId="16" fillId="35" borderId="0" xfId="2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Continuous"/>
    </xf>
    <xf numFmtId="165" fontId="1" fillId="0" borderId="0" xfId="1" applyNumberFormat="1" applyFont="1"/>
    <xf numFmtId="2" fontId="16" fillId="0" borderId="0" xfId="1" applyNumberFormat="1" applyFont="1"/>
    <xf numFmtId="2" fontId="1" fillId="0" borderId="0" xfId="1" applyNumberFormat="1" applyFont="1"/>
    <xf numFmtId="165" fontId="13" fillId="38" borderId="0" xfId="1" applyNumberFormat="1" applyFont="1" applyFill="1"/>
    <xf numFmtId="2" fontId="13" fillId="38" borderId="0" xfId="1" applyNumberFormat="1" applyFont="1" applyFill="1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 applyAlignment="1">
      <alignment horizontal="right"/>
    </xf>
    <xf numFmtId="165" fontId="0" fillId="35" borderId="0" xfId="1" applyNumberFormat="1" applyFont="1" applyFill="1"/>
    <xf numFmtId="170" fontId="16" fillId="0" borderId="0" xfId="1" applyNumberFormat="1" applyFont="1" applyAlignment="1">
      <alignment vertical="center" wrapText="1"/>
    </xf>
    <xf numFmtId="164" fontId="0" fillId="35" borderId="0" xfId="1" applyNumberFormat="1" applyFont="1" applyFill="1"/>
    <xf numFmtId="0" fontId="0" fillId="0" borderId="0" xfId="0" applyFill="1"/>
    <xf numFmtId="164" fontId="0" fillId="0" borderId="0" xfId="1" applyNumberFormat="1" applyFont="1" applyFill="1"/>
    <xf numFmtId="0" fontId="0" fillId="0" borderId="0" xfId="0" applyAlignment="1">
      <alignment horizontal="right"/>
    </xf>
    <xf numFmtId="172" fontId="0" fillId="0" borderId="0" xfId="2" applyNumberFormat="1" applyFont="1"/>
    <xf numFmtId="9" fontId="0" fillId="0" borderId="0" xfId="1" applyNumberFormat="1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83">
    <dxf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4" formatCode="0.00%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6" formatCode="_(* #,##0.000_);_(* \(#,##0.000\);_(* &quot;-&quot;??_);_(@_)"/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4" formatCode="_(* #,##0.0_);_(* \(#,##0.0\);_(* &quot;-&quot;??_);_(@_)"/>
    </dxf>
    <dxf>
      <font>
        <b/>
      </font>
      <numFmt numFmtId="170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_xlchart.v1.1</cx:f>
              <cx:v> Min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_xlchart.v1.3</cx:f>
              <cx:v> Avg 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_xlchart.v1.5</cx:f>
              <cx:v> Max 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619124</xdr:colOff>
      <xdr:row>11</xdr:row>
      <xdr:rowOff>104774</xdr:rowOff>
    </xdr:from>
    <xdr:to>
      <xdr:col>23</xdr:col>
      <xdr:colOff>104774</xdr:colOff>
      <xdr:row>12</xdr:row>
      <xdr:rowOff>142874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14906624" y="22002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15</xdr:col>
      <xdr:colOff>285749</xdr:colOff>
      <xdr:row>14</xdr:row>
      <xdr:rowOff>166687</xdr:rowOff>
    </xdr:from>
    <xdr:to>
      <xdr:col>30</xdr:col>
      <xdr:colOff>400049</xdr:colOff>
      <xdr:row>50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C718AE8-AF8E-4DB8-B178-B6427DF74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8174" y="2833687"/>
              <a:ext cx="10829925" cy="6796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FW9" totalsRowShown="0">
  <tableColumns count="179">
    <tableColumn id="89" xr3:uid="{5123B906-7B25-4824-8583-677EB6B9285C}" name="type" dataDxfId="182"/>
    <tableColumn id="176" xr3:uid="{88CBA38E-6EFA-47F7-A265-BDE3C2388925}" name="name" dataDxfId="181"/>
    <tableColumn id="178" xr3:uid="{B3DF1C40-D175-4635-AE58-B36D6BE04EF7}" name="eng" dataDxfId="180"/>
    <tableColumn id="177" xr3:uid="{2B2F120C-6F2A-40B4-BC4B-51A2AC352A4E}" name="n" dataDxfId="179" dataCellStyle="Comma"/>
    <tableColumn id="179" xr3:uid="{34535475-0819-400A-9E1D-685457CFBEEA}" name="slst" dataDxfId="178" dataCellStyle="Comma"/>
    <tableColumn id="171" xr3:uid="{399E0A6F-9954-4210-84DB-5BCDB163DD7E}" name="maxtom" dataDxfId="177">
      <calculatedColumnFormula array="1">MAX(IF(Calibration[type] = Model[[#This Row],[type]], Calibration[m]))</calculatedColumnFormula>
    </tableColumn>
    <tableColumn id="4" xr3:uid="{E4728001-1CCD-4A06-8EFD-287B845B169A}" name="S_clean" dataDxfId="176" dataCellStyle="Comma"/>
    <tableColumn id="50" xr3:uid="{E9FB89A9-17AA-4D62-8AD5-BC707A0109ED}" name="bpr" dataCellStyle="Comma"/>
    <tableColumn id="90" xr3:uid="{8F132E16-8196-4B50-9CDC-F71C1204F7B9}" name="span" dataCellStyle="Comma"/>
    <tableColumn id="92" xr3:uid="{DAB1E2B5-DC16-4EA3-B924-613A83D8E902}" name="cD0_clean" dataDxfId="175" dataCellStyle="Comma"/>
    <tableColumn id="188" xr3:uid="{17D9280F-F5CA-4717-85FE-AA370EE53C74}" name="k_clean" dataDxfId="174" dataCellStyle="Comma"/>
    <tableColumn id="169" xr3:uid="{6A7E8693-31B0-4E0A-9703-B47D7FF7E907}" name="e_clean" dataDxfId="173" dataCellStyle="Comma"/>
    <tableColumn id="93" xr3:uid="{30BB73B9-10CC-495F-828B-CBB4D242D90E}" name="lambda_f" dataDxfId="172" dataCellStyle="Comma"/>
    <tableColumn id="170" xr3:uid="{0E6AB729-9DCB-44E8-AD6A-6072B6BF515A}" name="cfc" dataDxfId="171" dataCellStyle="Comma"/>
    <tableColumn id="94" xr3:uid="{B5FA7880-D566-4DC0-B9E2-20052B9564E4}" name="SfS" dataDxfId="170" dataCellStyle="Comma"/>
    <tableColumn id="185" xr3:uid="{B5727246-24DE-417C-B862-79E3A535152F}" name="mintom" dataDxfId="169" dataCellStyle="Comma">
      <calculatedColumnFormula array="1">MIN(IF(Calibration[type] = Model[[#This Row],[type]], Calibration[m]))</calculatedColumnFormula>
    </tableColumn>
    <tableColumn id="1" xr3:uid="{B51D92C3-E05A-4CA9-8861-08865C2EDF65}" name="m" dataDxfId="168" dataCellStyle="Comma"/>
    <tableColumn id="88" xr3:uid="{A1598290-F810-457B-8983-4249A63A49BF}" name="W" dataDxfId="167" dataCellStyle="Comma">
      <calculatedColumnFormula>Model[[#This Row],[m]] * g</calculatedColumnFormula>
    </tableColumn>
    <tableColumn id="180" xr3:uid="{8E4563FE-30B0-474C-B0F1-5E8E646F1E46}" name="S_flaps" dataDxfId="166" dataCellStyle="Comma">
      <calculatedColumnFormula>Model[[#This Row],[S_clean]] * Model[[#This Row],[SfS]]</calculatedColumnFormula>
    </tableColumn>
    <tableColumn id="2" xr3:uid="{09DF1BEC-5569-4034-901D-38A79BF2DBA7}" name="S_total" dataDxfId="165" dataCellStyle="Comma">
      <calculatedColumnFormula>IF(WingArea = "Incl. flaps", SUM(Model[[#This Row],[S_clean]], Model[[#This Row],[S_flaps]]), Model[[#This Row],[S_clean]])</calculatedColumnFormula>
    </tableColumn>
    <tableColumn id="77" xr3:uid="{96567ACE-5E9D-42CB-8799-BE368E10E57C}" name="cD0_flaps" dataDxfId="164" dataCellStyle="Comma">
      <calculatedColumnFormula>Model[[#This Row],[lambda_f]] * POWER(Model[[#This Row],[cfc]], 1.38) * Model[[#This Row],[SfS]] * IF(flap_unit = "Degrees", POWER(SIN(flap_angle), 2), POWER(SIN(flap_angle * PI() / 180), 2))</calculatedColumnFormula>
    </tableColumn>
    <tableColumn id="3" xr3:uid="{09130C95-3220-43AE-8389-43B7CF21B84F}" name="cD0_gear" dataDxfId="163" dataCellStyle="Comma">
      <calculatedColumnFormula>Model[[#This Row],[W]] /#REF! * k_gear * POWER(Model[[#This Row],[maxtom]], -0.215)</calculatedColumnFormula>
    </tableColumn>
    <tableColumn id="173" xr3:uid="{C0B9007A-3DCE-4E2E-BBB7-1515D5337FA2}" name="cD0_total" dataDxfId="162" dataCellStyle="Comma">
      <calculatedColumnFormula>SUM(Model[[#This Row],[cD0_clean]], Model[[#This Row],[cD0_flaps]], Model[[#This Row],[cD0_gear]])</calculatedColumnFormula>
    </tableColumn>
    <tableColumn id="5" xr3:uid="{5DFA5EF4-9EB2-4BE7-BEBD-4D825EBDBFFA}" name="cL" dataDxfId="161" dataCellStyle="Comma"/>
    <tableColumn id="91" xr3:uid="{F47C0394-CB77-49A8-A335-825CD0B0F0BD}" name="ar" dataDxfId="160" dataCellStyle="Comma">
      <calculatedColumnFormula>POWER(Model[[#This Row],[span]], 2) / Model[[#This Row],[S_total]]</calculatedColumnFormula>
    </tableColumn>
    <tableColumn id="187" xr3:uid="{ACBB6091-647D-4173-9AB1-0A097F9EC44E}" name="e_flaps" dataDxfId="159" dataCellStyle="Comma">
      <calculatedColumnFormula>0.0026 * flap_angle</calculatedColumnFormula>
    </tableColumn>
    <tableColumn id="186" xr3:uid="{BFBFC07B-B067-41D3-BAF8-B4CAA308C2DA}" name="e_total" dataDxfId="158" dataCellStyle="Comma">
      <calculatedColumnFormula>0.807+Model[[#This Row],[e_flaps]]</calculatedColumnFormula>
    </tableColumn>
    <tableColumn id="172" xr3:uid="{17D1708A-DD2A-47CC-A39E-1ACA00F7F5C1}" name="k_total" dataDxfId="157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56" dataCellStyle="Comma">
      <calculatedColumnFormula>Model[[#This Row],[k_total]] * POWER(Model[[#This Row],[cL]], 2)</calculatedColumnFormula>
    </tableColumn>
    <tableColumn id="98" xr3:uid="{C924588E-1164-40BF-A8EE-2ACA94EAB685}" name="cD" dataDxfId="155" dataCellStyle="Comma">
      <calculatedColumnFormula>(Model[[#This Row],[cD0_total]] + Model[[#This Row],[cDi]])</calculatedColumnFormula>
    </tableColumn>
    <tableColumn id="183" xr3:uid="{7B15CC8B-AD74-4AF5-8E8C-4B9A0C627688}" name="cD-mu*cL" dataDxfId="154" dataCellStyle="Comma">
      <calculatedColumnFormula>Model[[#This Row],[cD]] - mu * Model[[#This Row],[cL]]</calculatedColumnFormula>
    </tableColumn>
    <tableColumn id="182" xr3:uid="{6769BA0E-5772-45C9-AD60-ADE71A36D943}" name="cL/cD" dataDxfId="153" dataCellStyle="Comma">
      <calculatedColumnFormula>Model[[#This Row],[cL]] / Model[[#This Row],[cD]]</calculatedColumnFormula>
    </tableColumn>
    <tableColumn id="7" xr3:uid="{E2E8B779-B2E1-4DE5-A917-14F38B2B58A3}" name="Vlof" dataDxfId="152" dataCellStyle="Comma">
      <calculatedColumnFormula>SQRT(Model[[#This Row],[W]] / (0.5 * rho *#REF! * Model[[#This Row],[cL]])) * Vs_to_Vlof</calculatedColumnFormula>
    </tableColumn>
    <tableColumn id="8" xr3:uid="{AE9D0406-857E-47EA-B681-9810B6EDC3C4}" name="Vtas1" dataDxfId="151" dataCellStyle="Comma">
      <calculatedColumnFormula>0</calculatedColumnFormula>
    </tableColumn>
    <tableColumn id="9" xr3:uid="{D130EFFA-63C2-4E12-A38E-95A9EFB377F6}" name="Vtas2" dataDxfId="150" dataCellStyle="Comma">
      <calculatedColumnFormula array="1">Model[[#This Row],[Vtas1]] + Model[[#This Row],[Vlof]:[Vlof]] / 9</calculatedColumnFormula>
    </tableColumn>
    <tableColumn id="10" xr3:uid="{70E340EE-1E3B-484E-91D4-F4A8D982AFD8}" name="Vtas3" dataDxfId="149" dataCellStyle="Comma">
      <calculatedColumnFormula array="1">Model[[#This Row],[Vtas2]] + Model[[#This Row],[Vlof]:[Vlof]] / 9</calculatedColumnFormula>
    </tableColumn>
    <tableColumn id="11" xr3:uid="{4A16AD2B-D066-4AEF-BDB0-2AA4AEFBE09E}" name="Vtas4" dataDxfId="148" dataCellStyle="Comma">
      <calculatedColumnFormula array="1">Model[[#This Row],[Vtas3]] + Model[[#This Row],[Vlof]:[Vlof]] / 9</calculatedColumnFormula>
    </tableColumn>
    <tableColumn id="12" xr3:uid="{5ED28457-95CB-41C8-88A2-46C23DDD1375}" name="Vtas5" dataDxfId="147" dataCellStyle="Comma">
      <calculatedColumnFormula array="1">Model[[#This Row],[Vtas4]] + Model[[#This Row],[Vlof]:[Vlof]] / 9</calculatedColumnFormula>
    </tableColumn>
    <tableColumn id="13" xr3:uid="{4C22F745-FA20-45EE-AB25-A92D4172E8EC}" name="Vtas6" dataDxfId="146" dataCellStyle="Comma">
      <calculatedColumnFormula array="1">Model[[#This Row],[Vtas5]] + Model[[#This Row],[Vlof]:[Vlof]] / 9</calculatedColumnFormula>
    </tableColumn>
    <tableColumn id="14" xr3:uid="{82CEC00E-1510-4272-BA88-8F6B7A3986CE}" name="Vtas7" dataDxfId="145" dataCellStyle="Comma">
      <calculatedColumnFormula array="1">Model[[#This Row],[Vtas6]] + Model[[#This Row],[Vlof]:[Vlof]] / 9</calculatedColumnFormula>
    </tableColumn>
    <tableColumn id="15" xr3:uid="{E681E754-FC8F-46F7-A3D6-69C3AC4820FB}" name="Vtas8" dataDxfId="144" dataCellStyle="Comma">
      <calculatedColumnFormula array="1">Model[[#This Row],[Vtas7]] + Model[[#This Row],[Vlof]:[Vlof]] / 9</calculatedColumnFormula>
    </tableColumn>
    <tableColumn id="16" xr3:uid="{D7AC4AFF-481E-4563-A2E9-690096D537B9}" name="Vtas9" dataDxfId="143" dataCellStyle="Comma">
      <calculatedColumnFormula array="1">Model[[#This Row],[Vtas8]] + Model[[#This Row],[Vlof]:[Vlof]] / 9</calculatedColumnFormula>
    </tableColumn>
    <tableColumn id="17" xr3:uid="{39B918CC-1086-40F9-892F-01DC4301E475}" name="Vtas10" dataDxfId="142" dataCellStyle="Comma">
      <calculatedColumnFormula array="1">Model[[#This Row],[Vtas9]] + Model[[#This Row],[Vlof]:[Vlof]] / 9</calculatedColumnFormula>
    </tableColumn>
    <tableColumn id="18" xr3:uid="{19E9C4F0-2777-4485-A1DD-0A8624C96D7D}" name="Vgnd1" dataDxfId="141" dataCellStyle="Comma"/>
    <tableColumn id="19" xr3:uid="{837DBE42-876C-4130-B58E-8B7FA46CED9E}" name="Vgnd2" dataDxfId="140" dataCellStyle="Comma">
      <calculatedColumnFormula array="1">Model[[#This Row],[Vgnd1]] + Model[[#This Row],[Vlof]:[Vlof]] / 9</calculatedColumnFormula>
    </tableColumn>
    <tableColumn id="20" xr3:uid="{A6C34499-5E63-4ABE-9EB9-EAFCEDD34212}" name="Vgnd3" dataDxfId="139" dataCellStyle="Comma">
      <calculatedColumnFormula array="1">Model[[#This Row],[Vgnd2]] + Model[[#This Row],[Vlof]:[Vlof]] / 9</calculatedColumnFormula>
    </tableColumn>
    <tableColumn id="21" xr3:uid="{E926E006-F790-4FDC-9097-2548CA8FC1F2}" name="Vgnd4" dataDxfId="138" dataCellStyle="Comma">
      <calculatedColumnFormula array="1">Model[[#This Row],[Vgnd3]] + Model[[#This Row],[Vlof]:[Vlof]] / 9</calculatedColumnFormula>
    </tableColumn>
    <tableColumn id="22" xr3:uid="{89DD3829-9FFD-4790-A0B6-88E718096CB0}" name="Vgnd5" dataDxfId="137" dataCellStyle="Comma">
      <calculatedColumnFormula array="1">Model[[#This Row],[Vgnd4]] + Model[[#This Row],[Vlof]:[Vlof]] / 9</calculatedColumnFormula>
    </tableColumn>
    <tableColumn id="23" xr3:uid="{6A509DBB-373D-4FA7-887B-0405EFF5EE4D}" name="Vgnd6" dataDxfId="136" dataCellStyle="Comma">
      <calculatedColumnFormula array="1">Model[[#This Row],[Vgnd5]] + Model[[#This Row],[Vlof]:[Vlof]] / 9</calculatedColumnFormula>
    </tableColumn>
    <tableColumn id="24" xr3:uid="{2F5A573C-8827-464D-BD33-1C3FBD60E747}" name="Vgnd7" dataDxfId="135" dataCellStyle="Comma">
      <calculatedColumnFormula array="1">Model[[#This Row],[Vgnd6]] + Model[[#This Row],[Vlof]:[Vlof]] / 9</calculatedColumnFormula>
    </tableColumn>
    <tableColumn id="25" xr3:uid="{4D960B9B-646D-4BD3-8679-E3D53FD424D8}" name="Vgnd8" dataDxfId="134" dataCellStyle="Comma">
      <calculatedColumnFormula array="1">Model[[#This Row],[Vgnd7]] + Model[[#This Row],[Vlof]:[Vlof]] / 9</calculatedColumnFormula>
    </tableColumn>
    <tableColumn id="26" xr3:uid="{9487ACDF-6BDA-4C2A-A8A7-A7BCACE4A0F5}" name="Vgnd9" dataDxfId="133" dataCellStyle="Comma">
      <calculatedColumnFormula array="1">Model[[#This Row],[Vgnd8]] + Model[[#This Row],[Vlof]:[Vlof]] / 9</calculatedColumnFormula>
    </tableColumn>
    <tableColumn id="27" xr3:uid="{55ABFB6D-B0EE-4182-A37A-8F990A4A886B}" name="Vgnd10" dataDxfId="132" dataCellStyle="Comma">
      <calculatedColumnFormula array="1">Model[[#This Row],[Vgnd9]] + Model[[#This Row],[Vlof]:[Vlof]] / 9</calculatedColumnFormula>
    </tableColumn>
    <tableColumn id="39" xr3:uid="{AF8FC6B8-4ED8-41C7-996B-83CFAD28CC53}" name="Vmach1" dataDxfId="131" dataCellStyle="Comma">
      <calculatedColumnFormula>Model[[#This Row],[Vtas1]] / Vsnd</calculatedColumnFormula>
    </tableColumn>
    <tableColumn id="40" xr3:uid="{7B45B275-B707-4FF2-A3A9-711148D426F0}" name="Vmach2" dataDxfId="130" dataCellStyle="Comma">
      <calculatedColumnFormula>Model[[#This Row],[Vtas2]] / Vsnd</calculatedColumnFormula>
    </tableColumn>
    <tableColumn id="41" xr3:uid="{1E71A8E3-AE11-426A-AA73-6A7931E33BBC}" name="Vmach3" dataDxfId="129" dataCellStyle="Comma">
      <calculatedColumnFormula>Model[[#This Row],[Vtas3]] / Vsnd</calculatedColumnFormula>
    </tableColumn>
    <tableColumn id="42" xr3:uid="{79D220F9-BFF5-4534-928C-E7F5D4B5377C}" name="Vmach4" dataDxfId="128" dataCellStyle="Comma">
      <calculatedColumnFormula>Model[[#This Row],[Vtas4]] / Vsnd</calculatedColumnFormula>
    </tableColumn>
    <tableColumn id="43" xr3:uid="{9C188083-1ED3-45C3-BE7D-0018A100ACD3}" name="Vmach5" dataDxfId="127" dataCellStyle="Comma">
      <calculatedColumnFormula>Model[[#This Row],[Vtas5]] / Vsnd</calculatedColumnFormula>
    </tableColumn>
    <tableColumn id="44" xr3:uid="{C88357CD-4452-4A68-95B9-53C0870006B1}" name="Vmach6" dataDxfId="126" dataCellStyle="Comma">
      <calculatedColumnFormula>Model[[#This Row],[Vtas6]] / Vsnd</calculatedColumnFormula>
    </tableColumn>
    <tableColumn id="45" xr3:uid="{CBF44BEE-F69D-46BA-A970-6881E23CC9CD}" name="Vmach7" dataDxfId="125" dataCellStyle="Comma">
      <calculatedColumnFormula>Model[[#This Row],[Vtas7]] / Vsnd</calculatedColumnFormula>
    </tableColumn>
    <tableColumn id="46" xr3:uid="{3EA67A83-11C8-483A-81EA-057C0CD298EC}" name="Vmach8" dataDxfId="124" dataCellStyle="Comma">
      <calculatedColumnFormula>Model[[#This Row],[Vtas8]] / Vsnd</calculatedColumnFormula>
    </tableColumn>
    <tableColumn id="47" xr3:uid="{4A620A97-06BC-4E75-BC06-29EA78892DE6}" name="Vmach9" dataDxfId="123" dataCellStyle="Comma">
      <calculatedColumnFormula>Model[[#This Row],[Vtas9]] / Vsnd</calculatedColumnFormula>
    </tableColumn>
    <tableColumn id="48" xr3:uid="{3217541B-A9D4-495D-A012-66EEDF8FE4D6}" name="Vmach10" dataDxfId="122" dataCellStyle="Comma">
      <calculatedColumnFormula>Model[[#This Row],[Vtas10]] / Vsnd</calculatedColumnFormula>
    </tableColumn>
    <tableColumn id="28" xr3:uid="{E1D53717-D407-4FBE-AEA1-04DA7A039444}" name="q1" dataDxfId="121" dataCellStyle="Comma">
      <calculatedColumnFormula>0.5 * rho * POWER(Model[[#This Row],[Vtas1]], 2)</calculatedColumnFormula>
    </tableColumn>
    <tableColumn id="29" xr3:uid="{5D39DDC1-0AF3-4F16-9151-65E365F69E94}" name="q2" dataDxfId="120" dataCellStyle="Comma">
      <calculatedColumnFormula>0.5 * rho * POWER(Model[[#This Row],[Vtas2]], 2)</calculatedColumnFormula>
    </tableColumn>
    <tableColumn id="30" xr3:uid="{853AD63E-CDF3-47A7-8A55-DE1649A6839F}" name="q3" dataDxfId="119" dataCellStyle="Comma">
      <calculatedColumnFormula>0.5 * rho * POWER(Model[[#This Row],[Vtas3]], 2)</calculatedColumnFormula>
    </tableColumn>
    <tableColumn id="31" xr3:uid="{2AA9B3FA-CC2A-40FA-95E2-BCFD36698E29}" name="q4" dataDxfId="118" dataCellStyle="Comma">
      <calculatedColumnFormula>0.5 * rho * POWER(Model[[#This Row],[Vtas4]], 2)</calculatedColumnFormula>
    </tableColumn>
    <tableColumn id="32" xr3:uid="{CF54A61A-41D3-4185-B4CC-21FC29C459BE}" name="q5" dataDxfId="117" dataCellStyle="Comma">
      <calculatedColumnFormula>0.5 * rho * POWER(Model[[#This Row],[Vtas5]], 2)</calculatedColumnFormula>
    </tableColumn>
    <tableColumn id="33" xr3:uid="{D00917BC-1DD9-4BCB-9E76-7008AA75DB23}" name="q6" dataDxfId="116" dataCellStyle="Comma">
      <calculatedColumnFormula>0.5 * rho * POWER(Model[[#This Row],[Vtas6]], 2)</calculatedColumnFormula>
    </tableColumn>
    <tableColumn id="34" xr3:uid="{C9E0C8B0-F8FC-46B3-A9D8-032FA667AF16}" name="q7" dataDxfId="115" dataCellStyle="Comma">
      <calculatedColumnFormula>0.5 * rho * POWER(Model[[#This Row],[Vtas7]], 2)</calculatedColumnFormula>
    </tableColumn>
    <tableColumn id="35" xr3:uid="{558CD305-325E-4C75-87BF-9C3E9713CBA2}" name="q8" dataDxfId="114" dataCellStyle="Comma">
      <calculatedColumnFormula>0.5 * rho * POWER(Model[[#This Row],[Vtas8]], 2)</calculatedColumnFormula>
    </tableColumn>
    <tableColumn id="36" xr3:uid="{C3293EEB-BC23-461F-9A59-1A185A54A799}" name="q9" dataDxfId="113" dataCellStyle="Comma">
      <calculatedColumnFormula>0.5 * rho * POWER(Model[[#This Row],[Vtas9]], 2)</calculatedColumnFormula>
    </tableColumn>
    <tableColumn id="37" xr3:uid="{95D1E0FA-9144-4BDF-83A5-9EC63FD72890}" name="q10" dataDxfId="112" dataCellStyle="Comma">
      <calculatedColumnFormula>0.5 * rho * POWER(Model[[#This Row],[Vtas10]], 2)</calculatedColumnFormula>
    </tableColumn>
    <tableColumn id="51" xr3:uid="{98F14DD9-B5F0-4518-BBF7-757F242FC28C}" name="G0" dataDxfId="111" dataCellStyle="Comma">
      <calculatedColumnFormula>0.0606 * Model[[#This Row],[bpr]]  + 0.6337</calculatedColumnFormula>
    </tableColumn>
    <tableColumn id="52" xr3:uid="{22297C8B-E03B-4AF3-B8C4-A4074128D162}" name="A" dataDxfId="110" dataCellStyle="Comma">
      <calculatedColumnFormula>-0.4327 * POWER(dP, 2) + 1.3855 * dP + 0.0472</calculatedColumnFormula>
    </tableColumn>
    <tableColumn id="53" xr3:uid="{2F90858A-7F9E-4FDF-BC38-4E7E0653B759}" name="X" dataDxfId="109" dataCellStyle="Comma">
      <calculatedColumnFormula>0.1377 * POWER(dP, 3) - 0.4374 * POWER(dP, 2) + 1.3003 * dP</calculatedColumnFormula>
    </tableColumn>
    <tableColumn id="54" xr3:uid="{E49BD9BE-490A-46BB-B2EE-90BDD613035F}" name="Z" dataDxfId="108" dataCellStyle="Comma">
      <calculatedColumnFormula>0.9106 * POWER(dP, 3) - 1.7736 * POWER(dP, 2) + 1.8697 * dP</calculatedColumnFormula>
    </tableColumn>
    <tableColumn id="55" xr3:uid="{7A8B10C1-343F-42E0-99BE-75BEB8AE3FB8}" name="tr1" dataDxfId="107" dataCellStyle="Comma">
      <calculatedColumnFormula array="1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calculatedColumnFormula>
    </tableColumn>
    <tableColumn id="56" xr3:uid="{F28BFB6D-53B2-42F5-A8A7-18CCC2FEEFFD}" name="tr2" dataDxfId="106" dataCellStyle="Comma">
      <calculatedColumnFormula array="1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calculatedColumnFormula>
    </tableColumn>
    <tableColumn id="57" xr3:uid="{DEE9AB1F-88BB-4D01-AEA6-2714BFEB1AEF}" name="tr3" dataDxfId="105" dataCellStyle="Comma">
      <calculatedColumnFormula array="1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calculatedColumnFormula>
    </tableColumn>
    <tableColumn id="58" xr3:uid="{DBA82B3E-61B9-4AD5-B243-2925B88E1E70}" name="tr4" dataDxfId="104" dataCellStyle="Comma">
      <calculatedColumnFormula array="1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calculatedColumnFormula>
    </tableColumn>
    <tableColumn id="59" xr3:uid="{E8BE8538-E632-4F09-A0C3-FEF9BB7864B6}" name="tr5" dataDxfId="103" dataCellStyle="Comma">
      <calculatedColumnFormula array="1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calculatedColumnFormula>
    </tableColumn>
    <tableColumn id="60" xr3:uid="{EB2447A6-039C-4F6E-B51B-58C2E737417A}" name="tr6" dataDxfId="102" dataCellStyle="Comma">
      <calculatedColumnFormula array="1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calculatedColumnFormula>
    </tableColumn>
    <tableColumn id="61" xr3:uid="{E37F9B0F-0D36-4FFB-A46B-5028725FB991}" name="tr7" dataDxfId="101" dataCellStyle="Comma">
      <calculatedColumnFormula array="1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calculatedColumnFormula>
    </tableColumn>
    <tableColumn id="62" xr3:uid="{90FFAF19-07F0-475E-87FA-4BCFFFA698DB}" name="tr8" dataDxfId="100" dataCellStyle="Comma">
      <calculatedColumnFormula array="1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calculatedColumnFormula>
    </tableColumn>
    <tableColumn id="63" xr3:uid="{A4A783DF-FDDE-4E5D-A469-F8C67002D0AF}" name="tr9" dataDxfId="99" dataCellStyle="Comma">
      <calculatedColumnFormula array="1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calculatedColumnFormula>
    </tableColumn>
    <tableColumn id="64" xr3:uid="{D1E2F415-E078-415D-BA88-0853A0D2A953}" name="tr10" dataDxfId="98" dataCellStyle="Comma">
      <calculatedColumnFormula array="1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calculatedColumnFormula>
    </tableColumn>
    <tableColumn id="67" xr3:uid="{A99CCB02-4BBC-48DB-A88A-2D6E19DB1B18}" name="Fmax1" dataDxfId="97" dataCellStyle="Comma">
      <calculatedColumnFormula array="1">Model[[#This Row],[tr1]] * Model[[#This Row],[slst]:[slst]] * n</calculatedColumnFormula>
    </tableColumn>
    <tableColumn id="68" xr3:uid="{49EB1EF5-3A1B-4FF6-9E92-4DEBA702394B}" name="Fmax2" dataDxfId="96" dataCellStyle="Comma">
      <calculatedColumnFormula array="1">Model[[#This Row],[tr2]] * Model[[#This Row],[slst]:[slst]] * n</calculatedColumnFormula>
    </tableColumn>
    <tableColumn id="69" xr3:uid="{9C31C54E-C8B7-438A-AB85-08D437142A32}" name="Fmax3" dataDxfId="95" dataCellStyle="Comma">
      <calculatedColumnFormula array="1">Model[[#This Row],[tr3]] * Model[[#This Row],[slst]:[slst]] * n</calculatedColumnFormula>
    </tableColumn>
    <tableColumn id="70" xr3:uid="{BB002C2C-7990-4154-9378-5AF40E8916E7}" name="Fmax4" dataDxfId="94" dataCellStyle="Comma">
      <calculatedColumnFormula array="1">Model[[#This Row],[tr4]] * Model[[#This Row],[slst]:[slst]] * n</calculatedColumnFormula>
    </tableColumn>
    <tableColumn id="71" xr3:uid="{1CA88C87-4E48-4715-B72C-CA455A15D8FB}" name="Fmax5" dataDxfId="93" dataCellStyle="Comma">
      <calculatedColumnFormula array="1">Model[[#This Row],[tr5]] * Model[[#This Row],[slst]:[slst]] * n</calculatedColumnFormula>
    </tableColumn>
    <tableColumn id="72" xr3:uid="{4C263D14-06DE-414D-BC33-1FC81B083070}" name="Fmax6" dataDxfId="92" dataCellStyle="Comma">
      <calculatedColumnFormula array="1">Model[[#This Row],[tr6]] * Model[[#This Row],[slst]:[slst]] * n</calculatedColumnFormula>
    </tableColumn>
    <tableColumn id="73" xr3:uid="{7FA29C9D-3D57-489D-9B07-AB33E4E709F1}" name="Fmax7" dataDxfId="91" dataCellStyle="Comma">
      <calculatedColumnFormula array="1">Model[[#This Row],[tr7]] * Model[[#This Row],[slst]:[slst]] * n</calculatedColumnFormula>
    </tableColumn>
    <tableColumn id="74" xr3:uid="{1E5B3020-3734-4E06-B489-FBC6C24A812A}" name="Fmax8" dataDxfId="90" dataCellStyle="Comma">
      <calculatedColumnFormula array="1">Model[[#This Row],[tr8]] * Model[[#This Row],[slst]:[slst]] * n</calculatedColumnFormula>
    </tableColumn>
    <tableColumn id="75" xr3:uid="{6189A889-5194-43DF-A31E-F9ABC0C9CCBC}" name="Fmax9" dataDxfId="89" dataCellStyle="Comma">
      <calculatedColumnFormula array="1">Model[[#This Row],[tr9]] * Model[[#This Row],[slst]:[slst]] * n</calculatedColumnFormula>
    </tableColumn>
    <tableColumn id="76" xr3:uid="{2ECA6A27-C97E-4A58-8592-837EE52E86A7}" name="Fmax10" dataDxfId="88" dataCellStyle="Comma">
      <calculatedColumnFormula array="1">Model[[#This Row],[tr10]] * Model[[#This Row],[slst]:[slst]] * n</calculatedColumnFormula>
    </tableColumn>
    <tableColumn id="78" xr3:uid="{30091B20-1442-46FC-91F3-8E5B0916E579}" name="Frto1" dataDxfId="87" dataCellStyle="Comma">
      <calculatedColumnFormula>Model[[#This Row],[Fmax1]] * (100 - rto) / 100</calculatedColumnFormula>
    </tableColumn>
    <tableColumn id="79" xr3:uid="{AE21CE62-8CE4-4B39-B579-9AB36F63C14C}" name="Frto2" dataDxfId="86" dataCellStyle="Comma">
      <calculatedColumnFormula>Model[[#This Row],[Fmax2]] * (100 - rto) / 100</calculatedColumnFormula>
    </tableColumn>
    <tableColumn id="80" xr3:uid="{7DEA1C4B-9D5D-411B-83A2-C52A2DAB2A71}" name="Frto3" dataDxfId="85" dataCellStyle="Comma">
      <calculatedColumnFormula>Model[[#This Row],[Fmax3]] * (100 - rto) / 100</calculatedColumnFormula>
    </tableColumn>
    <tableColumn id="81" xr3:uid="{E02A2CC1-A0C8-4750-A770-86CC5CD54CF0}" name="Frto4" dataDxfId="84" dataCellStyle="Comma">
      <calculatedColumnFormula>Model[[#This Row],[Fmax4]] * (100 - rto) / 100</calculatedColumnFormula>
    </tableColumn>
    <tableColumn id="82" xr3:uid="{DC9E6EC6-8A26-4532-BF1D-D6B6BED857AE}" name="Frto5" dataDxfId="83" dataCellStyle="Comma">
      <calculatedColumnFormula>Model[[#This Row],[Fmax5]] * (100 - rto) / 100</calculatedColumnFormula>
    </tableColumn>
    <tableColumn id="83" xr3:uid="{AB5936ED-946F-408C-9AD7-5B477DCC4AF9}" name="Frto6" dataDxfId="82" dataCellStyle="Comma">
      <calculatedColumnFormula>Model[[#This Row],[Fmax6]] * (100 - rto) / 100</calculatedColumnFormula>
    </tableColumn>
    <tableColumn id="84" xr3:uid="{FC078F74-423E-414C-AD31-3A34CA9FB8C3}" name="Frto7" dataDxfId="81" dataCellStyle="Comma">
      <calculatedColumnFormula>Model[[#This Row],[Fmax7]] * (100 - rto) / 100</calculatedColumnFormula>
    </tableColumn>
    <tableColumn id="85" xr3:uid="{97ECDF87-129D-45D9-8B29-6063FCAC2004}" name="Frto8" dataDxfId="80" dataCellStyle="Comma">
      <calculatedColumnFormula>Model[[#This Row],[Fmax8]] * (100 - rto) / 100</calculatedColumnFormula>
    </tableColumn>
    <tableColumn id="86" xr3:uid="{DF475EFB-DF8E-4BFD-A298-BF2DF92B625F}" name="Frto9" dataDxfId="79" dataCellStyle="Comma">
      <calculatedColumnFormula>Model[[#This Row],[Fmax9]] * (100 - rto) / 100</calculatedColumnFormula>
    </tableColumn>
    <tableColumn id="87" xr3:uid="{A7AEC4BE-609C-497F-A613-8F5A08561587}" name="Frto10" dataDxfId="78" dataCellStyle="Comma">
      <calculatedColumnFormula>Model[[#This Row],[Fmax10]] * (100 - rto) / 100</calculatedColumnFormula>
    </tableColumn>
    <tableColumn id="161" xr3:uid="{48EB8ED0-F82D-4B5D-BC8C-A8DCD405019C}" name="L1" dataDxfId="77" dataCellStyle="Comma">
      <calculatedColumnFormula array="1">Model[[#This Row],[cL]:[cL]] * 0.5 * rho * POWER(Model[[#This Row],[Vtas1]], 2) *#REF!</calculatedColumnFormula>
    </tableColumn>
    <tableColumn id="162" xr3:uid="{254EBA8D-6C55-4C0E-8E53-DF0916D2884A}" name="L2" dataDxfId="76" dataCellStyle="Comma">
      <calculatedColumnFormula array="1">Model[[#This Row],[cL]:[cL]] * 0.5 * rho * POWER(Model[[#This Row],[Vtas2]], 2) *#REF!</calculatedColumnFormula>
    </tableColumn>
    <tableColumn id="163" xr3:uid="{DF8C1624-3C8B-46E4-93A7-5E0AB80E3EC7}" name="L3" dataDxfId="75" dataCellStyle="Comma">
      <calculatedColumnFormula array="1">Model[[#This Row],[cL]:[cL]] * 0.5 * rho * POWER(Model[[#This Row],[Vtas3]], 2) *#REF!</calculatedColumnFormula>
    </tableColumn>
    <tableColumn id="164" xr3:uid="{59CCEF0A-FD9D-43F2-AF04-F6D497AFD5F5}" name="L4" dataDxfId="74" dataCellStyle="Comma">
      <calculatedColumnFormula array="1">Model[[#This Row],[cL]:[cL]] * 0.5 * rho * POWER(Model[[#This Row],[Vtas4]], 2) *#REF!</calculatedColumnFormula>
    </tableColumn>
    <tableColumn id="165" xr3:uid="{F74781A5-A808-4EDA-A7A6-3FE045DE020B}" name="L5" dataDxfId="73" dataCellStyle="Comma">
      <calculatedColumnFormula array="1">Model[[#This Row],[cL]:[cL]] * 0.5 * rho * POWER(Model[[#This Row],[Vtas5]], 2) *#REF!</calculatedColumnFormula>
    </tableColumn>
    <tableColumn id="166" xr3:uid="{6CEB2919-1626-4303-9AF3-855E21A34C2F}" name="L6" dataDxfId="72" dataCellStyle="Comma">
      <calculatedColumnFormula array="1">Model[[#This Row],[cL]:[cL]] * 0.5 * rho * POWER(Model[[#This Row],[Vtas6]], 2) *#REF!</calculatedColumnFormula>
    </tableColumn>
    <tableColumn id="167" xr3:uid="{9D28E094-4BF1-4727-A517-FAAE61EF8ABB}" name="L7" dataDxfId="71" dataCellStyle="Comma">
      <calculatedColumnFormula array="1">Model[[#This Row],[cL]:[cL]] * 0.5 * rho * POWER(Model[[#This Row],[Vtas7]], 2) *#REF!</calculatedColumnFormula>
    </tableColumn>
    <tableColumn id="168" xr3:uid="{2FB0A694-457C-4648-AEA9-1A9224392D27}" name="L8" dataDxfId="70" dataCellStyle="Comma">
      <calculatedColumnFormula array="1">Model[[#This Row],[cL]:[cL]] * 0.5 * rho * POWER(Model[[#This Row],[Vtas8]], 2) *#REF!</calculatedColumnFormula>
    </tableColumn>
    <tableColumn id="153" xr3:uid="{747E7418-B6AE-4687-AA2C-B78B500AB31A}" name="L9" dataDxfId="69" dataCellStyle="Comma">
      <calculatedColumnFormula array="1">Model[[#This Row],[cL]:[cL]] * 0.5 * rho * POWER(Model[[#This Row],[Vtas9]], 2) *#REF!</calculatedColumnFormula>
    </tableColumn>
    <tableColumn id="154" xr3:uid="{64D18A92-AFF8-46AB-9A07-156C6801ACFA}" name="L10" dataDxfId="68" dataCellStyle="Comma">
      <calculatedColumnFormula array="1">Model[[#This Row],[cL]:[cL]] * 0.5 * rho * POWER(Model[[#This Row],[Vtas10]], 2) *#REF!</calculatedColumnFormula>
    </tableColumn>
    <tableColumn id="155" xr3:uid="{62BB9208-5B0E-4235-9D1A-EEA50AF3EF40}" name="D1" dataDxfId="67" dataCellStyle="Comma">
      <calculatedColumnFormula array="1">Model[[#This Row],[cD]:[cD]] * 0.5 * rho * POWER(Model[[#This Row],[Vtas1]], 2) *#REF!</calculatedColumnFormula>
    </tableColumn>
    <tableColumn id="156" xr3:uid="{C55EB948-5C50-42BD-8786-6AE6B12F0F64}" name="D2" dataDxfId="66" dataCellStyle="Comma">
      <calculatedColumnFormula array="1">Model[[#This Row],[cD]:[cD]] * 0.5 * rho * POWER(Model[[#This Row],[Vtas2]], 2) *#REF!</calculatedColumnFormula>
    </tableColumn>
    <tableColumn id="157" xr3:uid="{1766FA95-52D8-4FB4-A7A3-7BD525B44BDE}" name="D3" dataDxfId="65" dataCellStyle="Comma">
      <calculatedColumnFormula array="1">Model[[#This Row],[cD]:[cD]] * 0.5 * rho * POWER(Model[[#This Row],[Vtas3]], 2) *#REF!</calculatedColumnFormula>
    </tableColumn>
    <tableColumn id="158" xr3:uid="{F874B874-A516-4554-8DA5-0EEF1489C4E3}" name="D4" dataDxfId="64" dataCellStyle="Comma">
      <calculatedColumnFormula array="1">Model[[#This Row],[cD]:[cD]] * 0.5 * rho * POWER(Model[[#This Row],[Vtas4]], 2) *#REF!</calculatedColumnFormula>
    </tableColumn>
    <tableColumn id="159" xr3:uid="{78FDC1CC-A615-40FE-A799-F8A67467B49B}" name="D5" dataDxfId="63" dataCellStyle="Comma">
      <calculatedColumnFormula array="1">Model[[#This Row],[cD]:[cD]] * 0.5 * rho * POWER(Model[[#This Row],[Vtas5]], 2) *#REF!</calculatedColumnFormula>
    </tableColumn>
    <tableColumn id="160" xr3:uid="{2422B4AB-ECBA-42CB-9224-83F298DC2896}" name="D6" dataDxfId="62" dataCellStyle="Comma">
      <calculatedColumnFormula array="1">Model[[#This Row],[cD]:[cD]] * 0.5 * rho * POWER(Model[[#This Row],[Vtas6]], 2) *#REF!</calculatedColumnFormula>
    </tableColumn>
    <tableColumn id="95" xr3:uid="{56321908-BEFE-4B62-8BA2-4EC4784D4B9E}" name="D7" dataDxfId="61" dataCellStyle="Comma">
      <calculatedColumnFormula array="1">Model[[#This Row],[cD]:[cD]] * 0.5 * rho * POWER(Model[[#This Row],[Vtas7]], 2) *#REF!</calculatedColumnFormula>
    </tableColumn>
    <tableColumn id="109" xr3:uid="{BC2DD547-F3DE-4974-BD21-8AC2F82EC5FF}" name="D8" dataDxfId="60" dataCellStyle="Comma">
      <calculatedColumnFormula array="1">Model[[#This Row],[cD]:[cD]] * 0.5 * rho * POWER(Model[[#This Row],[Vtas8]], 2) *#REF!</calculatedColumnFormula>
    </tableColumn>
    <tableColumn id="110" xr3:uid="{2B36CEC8-8670-4B8A-8471-F32760079E1D}" name="D9" dataDxfId="59" dataCellStyle="Comma">
      <calculatedColumnFormula array="1">Model[[#This Row],[cD]:[cD]] * 0.5 * rho * POWER(Model[[#This Row],[Vtas9]], 2) *#REF!</calculatedColumnFormula>
    </tableColumn>
    <tableColumn id="150" xr3:uid="{A34CCBB3-203C-421C-859F-00E43EE6A262}" name="D10" dataDxfId="58" dataCellStyle="Comma">
      <calculatedColumnFormula array="1">Model[[#This Row],[cD]:[cD]] * 0.5 * rho * POWER(Model[[#This Row],[Vtas10]], 2) *#REF!</calculatedColumnFormula>
    </tableColumn>
    <tableColumn id="99" xr3:uid="{72F6ED7C-531F-4F7E-BC26-BAD5B25731D4}" name="a1" dataDxfId="57" dataCellStyle="Comma">
      <calculatedColumnFormula array="1">g / Model[[#This Row],[W]:[W]] * (Model[[#This Row],[Frto1]] - (mu * Model[[#This Row],[W]:[W]]) - (Model[[#This Row],[cD]:[cD]] - mu * Model[[#This Row],[cL]:[cL]]) * (Model[[#This Row],[q1]] *#REF!) - (Model[[#This Row],[W]:[W]] * SIN(theta)))</calculatedColumnFormula>
    </tableColumn>
    <tableColumn id="100" xr3:uid="{A4D07DDD-0614-4035-888B-08B51626A18E}" name="a2" dataDxfId="56" dataCellStyle="Comma">
      <calculatedColumnFormula array="1">g / Model[[#This Row],[W]:[W]] * (Model[[#This Row],[Frto2]] - (mu * Model[[#This Row],[W]:[W]]) - (Model[[#This Row],[cD]:[cD]] - mu * Model[[#This Row],[cL]:[cL]]) * (Model[[#This Row],[q2]] *#REF!) - (Model[[#This Row],[W]:[W]] * SIN(theta)))</calculatedColumnFormula>
    </tableColumn>
    <tableColumn id="101" xr3:uid="{A20976C2-3B51-43E3-A7ED-832B47D51145}" name="a3" dataDxfId="55" dataCellStyle="Comma">
      <calculatedColumnFormula array="1">g / Model[[#This Row],[W]:[W]] * (Model[[#This Row],[Frto3]] - (mu * Model[[#This Row],[W]:[W]]) - (Model[[#This Row],[cD]:[cD]] - mu * Model[[#This Row],[cL]:[cL]]) * (Model[[#This Row],[q3]] *#REF!) - (Model[[#This Row],[W]:[W]] * SIN(theta)))</calculatedColumnFormula>
    </tableColumn>
    <tableColumn id="102" xr3:uid="{D34DBEF6-AE7F-4D49-ABE7-2AA1F5BE5931}" name="a4" dataDxfId="54" dataCellStyle="Comma">
      <calculatedColumnFormula array="1">g / Model[[#This Row],[W]:[W]] * (Model[[#This Row],[Frto4]] - (mu * Model[[#This Row],[W]:[W]]) - (Model[[#This Row],[cD]:[cD]] - mu * Model[[#This Row],[cL]:[cL]]) * (Model[[#This Row],[q4]] *#REF!) - (Model[[#This Row],[W]:[W]] * SIN(theta)))</calculatedColumnFormula>
    </tableColumn>
    <tableColumn id="103" xr3:uid="{2B869F2D-CB64-46D1-8823-A383486DE400}" name="a5" dataDxfId="53" dataCellStyle="Comma">
      <calculatedColumnFormula array="1">g / Model[[#This Row],[W]:[W]] * (Model[[#This Row],[Frto5]] - (mu * Model[[#This Row],[W]:[W]]) - (Model[[#This Row],[cD]:[cD]] - mu * Model[[#This Row],[cL]:[cL]]) * (Model[[#This Row],[q5]] *#REF!) - (Model[[#This Row],[W]:[W]] * SIN(theta)))</calculatedColumnFormula>
    </tableColumn>
    <tableColumn id="104" xr3:uid="{86C23133-0918-4A9B-8C4A-158484D9187E}" name="a6" dataDxfId="52" dataCellStyle="Comma">
      <calculatedColumnFormula array="1">g / Model[[#This Row],[W]:[W]] * (Model[[#This Row],[Frto6]] - (mu * Model[[#This Row],[W]:[W]]) - (Model[[#This Row],[cD]:[cD]] - mu * Model[[#This Row],[cL]:[cL]]) * (Model[[#This Row],[q6]] *#REF!) - (Model[[#This Row],[W]:[W]] * SIN(theta)))</calculatedColumnFormula>
    </tableColumn>
    <tableColumn id="105" xr3:uid="{D6A27200-433F-45CC-987D-595BDF5F235E}" name="a7" dataDxfId="51" dataCellStyle="Comma">
      <calculatedColumnFormula array="1">g / Model[[#This Row],[W]:[W]] * (Model[[#This Row],[Frto7]] - (mu * Model[[#This Row],[W]:[W]]) - (Model[[#This Row],[cD]:[cD]] - mu * Model[[#This Row],[cL]:[cL]]) * (Model[[#This Row],[q7]] *#REF!) - (Model[[#This Row],[W]:[W]] * SIN(theta)))</calculatedColumnFormula>
    </tableColumn>
    <tableColumn id="106" xr3:uid="{7E2DB4AF-6366-4C81-8C9E-681E3FEA0CD5}" name="a8" dataDxfId="50" dataCellStyle="Comma">
      <calculatedColumnFormula array="1">g / Model[[#This Row],[W]:[W]] * (Model[[#This Row],[Frto8]] - (mu * Model[[#This Row],[W]:[W]]) - (Model[[#This Row],[cD]:[cD]] - mu * Model[[#This Row],[cL]:[cL]]) * (Model[[#This Row],[q8]] *#REF!) - (Model[[#This Row],[W]:[W]] * SIN(theta)))</calculatedColumnFormula>
    </tableColumn>
    <tableColumn id="107" xr3:uid="{AC06CDE0-3D62-422D-9EB9-2D3ED87EACCF}" name="a9" dataDxfId="49" dataCellStyle="Comma">
      <calculatedColumnFormula array="1">g / Model[[#This Row],[W]:[W]] * (Model[[#This Row],[Frto9]] - (mu * Model[[#This Row],[W]:[W]]) - (Model[[#This Row],[cD]:[cD]] - mu * Model[[#This Row],[cL]:[cL]]) * (Model[[#This Row],[q9]] *#REF!) - (Model[[#This Row],[W]:[W]] * SIN(theta)))</calculatedColumnFormula>
    </tableColumn>
    <tableColumn id="108" xr3:uid="{C3334C86-08A6-43AA-B16E-DBE9CA0C9248}" name="a10" dataDxfId="48" dataCellStyle="Comma">
      <calculatedColumnFormula array="1">g / Model[[#This Row],[W]:[W]] * (Model[[#This Row],[Frto10]] - (mu * Model[[#This Row],[W]:[W]]) - (Model[[#This Row],[cD]:[cD]] - mu * Model[[#This Row],[cL]:[cL]]) * (Model[[#This Row],[q10]] *#REF!) - (Model[[#This Row],[W]:[W]] * SIN(theta)))</calculatedColumnFormula>
    </tableColumn>
    <tableColumn id="66" xr3:uid="{5C680481-9209-45AC-9C43-DE42CB2771BB}" name="a_dec" dataDxfId="47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46" dataCellStyle="Comma">
      <calculatedColumnFormula>AVERAGE(Model[[#This Row],[a1]], Model[[#This Row],[a1]])</calculatedColumnFormula>
    </tableColumn>
    <tableColumn id="112" xr3:uid="{EC03006A-FF9F-43A9-B6CA-19BE1AFDD344}" name="a_bar2" dataDxfId="45" dataCellStyle="Comma">
      <calculatedColumnFormula>AVERAGE(Model[[#This Row],[a1]], Model[[#This Row],[a2]])</calculatedColumnFormula>
    </tableColumn>
    <tableColumn id="113" xr3:uid="{6D14BD9E-D55D-4FFA-99FF-5963B796F776}" name="a_bar3" dataDxfId="44" dataCellStyle="Comma">
      <calculatedColumnFormula>AVERAGE(Model[[#This Row],[a2]], Model[[#This Row],[a3]])</calculatedColumnFormula>
    </tableColumn>
    <tableColumn id="114" xr3:uid="{66247230-73A8-46BA-80C1-C88347A038D5}" name="a_bar4" dataDxfId="43" dataCellStyle="Comma">
      <calculatedColumnFormula>AVERAGE(Model[[#This Row],[a3]], Model[[#This Row],[a4]])</calculatedColumnFormula>
    </tableColumn>
    <tableColumn id="115" xr3:uid="{BF60CBED-D0B9-46C8-87DE-7710977B4DFD}" name="a_bar5" dataDxfId="42" dataCellStyle="Comma">
      <calculatedColumnFormula>AVERAGE(Model[[#This Row],[a4]], Model[[#This Row],[a5]])</calculatedColumnFormula>
    </tableColumn>
    <tableColumn id="116" xr3:uid="{C5D5A1D8-5431-4464-9D24-20F433189217}" name="a_bar6" dataDxfId="41" dataCellStyle="Comma">
      <calculatedColumnFormula>AVERAGE(Model[[#This Row],[a5]], Model[[#This Row],[a6]])</calculatedColumnFormula>
    </tableColumn>
    <tableColumn id="117" xr3:uid="{9CF26BF3-577F-475C-B488-97D4D98D7298}" name="a_bar7" dataDxfId="40" dataCellStyle="Comma">
      <calculatedColumnFormula>AVERAGE(Model[[#This Row],[a6]], Model[[#This Row],[a7]])</calculatedColumnFormula>
    </tableColumn>
    <tableColumn id="118" xr3:uid="{65B457E3-5FED-46D7-B946-D57C01006C8D}" name="a_bar8" dataDxfId="39" dataCellStyle="Comma">
      <calculatedColumnFormula>AVERAGE(Model[[#This Row],[a7]], Model[[#This Row],[a8]])</calculatedColumnFormula>
    </tableColumn>
    <tableColumn id="119" xr3:uid="{01E31751-7E70-424D-B963-231F644A637C}" name="a_bar9" dataDxfId="38" dataCellStyle="Comma">
      <calculatedColumnFormula>AVERAGE(Model[[#This Row],[a8]], Model[[#This Row],[a9]])</calculatedColumnFormula>
    </tableColumn>
    <tableColumn id="120" xr3:uid="{523F8A81-05B8-4AC1-B9EB-2E6D8E3C72D7}" name="a_bar10" dataDxfId="37" dataCellStyle="Comma">
      <calculatedColumnFormula>AVERAGE(Model[[#This Row],[a9]], Model[[#This Row],[a10]])</calculatedColumnFormula>
    </tableColumn>
    <tableColumn id="121" xr3:uid="{2265D779-E892-48ED-BAC9-1BD0E94A55D1}" name="Vgnd_bar1" dataDxfId="36" dataCellStyle="Comma">
      <calculatedColumnFormula>AVERAGE(Model[[#This Row],[Vgnd1]], Model[[#This Row],[Vgnd1]])</calculatedColumnFormula>
    </tableColumn>
    <tableColumn id="122" xr3:uid="{AD6BBDE1-9DB6-42A8-9B4C-A31247EB0D57}" name="Vgnd_bar2" dataDxfId="35" dataCellStyle="Comma">
      <calculatedColumnFormula>AVERAGE(Model[[#This Row],[Vgnd1]], Model[[#This Row],[Vgnd2]])</calculatedColumnFormula>
    </tableColumn>
    <tableColumn id="123" xr3:uid="{26389898-8D10-471A-B451-28C6BA2BE59E}" name="Vgnd_bar3" dataDxfId="34" dataCellStyle="Comma">
      <calculatedColumnFormula>AVERAGE(Model[[#This Row],[Vgnd2]], Model[[#This Row],[Vgnd3]])</calculatedColumnFormula>
    </tableColumn>
    <tableColumn id="124" xr3:uid="{2F9598DD-0851-4A67-B459-45625DD5CADA}" name="Vgnd_bar4" dataDxfId="33" dataCellStyle="Comma">
      <calculatedColumnFormula>AVERAGE(Model[[#This Row],[Vgnd3]], Model[[#This Row],[Vgnd4]])</calculatedColumnFormula>
    </tableColumn>
    <tableColumn id="125" xr3:uid="{8A88A789-7AE7-42E6-BB6E-E2BB6EA243C7}" name="Vgnd_bar5" dataDxfId="32" dataCellStyle="Comma">
      <calculatedColumnFormula>AVERAGE(Model[[#This Row],[Vgnd4]], Model[[#This Row],[Vgnd5]])</calculatedColumnFormula>
    </tableColumn>
    <tableColumn id="126" xr3:uid="{EB4F8075-1953-4977-89DD-8DD5558D10A5}" name="Vgnd_bar6" dataDxfId="31" dataCellStyle="Comma">
      <calculatedColumnFormula>AVERAGE(Model[[#This Row],[Vgnd5]], Model[[#This Row],[Vgnd6]])</calculatedColumnFormula>
    </tableColumn>
    <tableColumn id="127" xr3:uid="{BB73E24E-11D1-4F7B-8C89-C8B1DD51AB73}" name="Vgnd_bar7" dataDxfId="30" dataCellStyle="Comma">
      <calculatedColumnFormula>AVERAGE(Model[[#This Row],[Vgnd6]], Model[[#This Row],[Vgnd7]])</calculatedColumnFormula>
    </tableColumn>
    <tableColumn id="128" xr3:uid="{6465AA9E-4B66-4E78-8DA8-FB00CF70F93A}" name="Vgnd_bar8" dataDxfId="29" dataCellStyle="Comma">
      <calculatedColumnFormula>AVERAGE(Model[[#This Row],[Vgnd7]], Model[[#This Row],[Vgnd8]])</calculatedColumnFormula>
    </tableColumn>
    <tableColumn id="129" xr3:uid="{1BABE916-9149-452F-BE96-CA06D4040237}" name="Vgnd_bar9" dataDxfId="28" dataCellStyle="Comma">
      <calculatedColumnFormula>AVERAGE(Model[[#This Row],[Vgnd8]], Model[[#This Row],[Vgnd9]])</calculatedColumnFormula>
    </tableColumn>
    <tableColumn id="130" xr3:uid="{EAE816FE-28C5-4D67-A4D3-86227E7BB375}" name="Vgnd_bar10" dataDxfId="27" dataCellStyle="Comma">
      <calculatedColumnFormula>AVERAGE(Model[[#This Row],[Vgnd9]], Model[[#This Row],[Vgnd10]])</calculatedColumnFormula>
    </tableColumn>
    <tableColumn id="131" xr3:uid="{7C12003C-7DBD-413D-8684-D4511DE08A30}" name="Vgnd_int" dataDxfId="26" dataCellStyle="Comma">
      <calculatedColumnFormula>Model[[#This Row],[Vlof]] / 9</calculatedColumnFormula>
    </tableColumn>
    <tableColumn id="132" xr3:uid="{CFCE34D8-E1AD-42E5-B40A-43DC966C02B6}" name="inc1" dataDxfId="25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24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23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22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21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20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19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18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17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16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15" dataCellStyle="Comma">
      <calculatedColumnFormula>SUM(Model[[#This Row],[inc1]:[inc10]])</calculatedColumnFormula>
    </tableColumn>
    <tableColumn id="143" xr3:uid="{39BDCF9F-B3AD-45D3-8549-6296157FD72D}" name="todr_sim_air" dataCellStyle="Comma">
      <calculatedColumnFormula>Model[[#This Row],[todr_cal_air]]</calculatedColumnFormula>
    </tableColumn>
    <tableColumn id="144" xr3:uid="{5A174337-52C3-4963-AF11-3A942A13E63C}" name="todr_sim_reg" dataDxfId="14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13" dataCellStyle="Comma">
      <calculatedColumnFormula>SUM(Model[[#This Row],[todr_sim_gnd]:[todr_sim_reg]])</calculatedColumnFormula>
    </tableColumn>
    <tableColumn id="149" xr3:uid="{CE5230BE-6E30-46E0-BE16-E33B9D3C4A9A}" name="todr_cal_gnd" dataDxfId="1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CellStyle="Comma">
      <calculatedColumnFormula>screen_height * SIN((90 - climb_angle) * PI() / 180) / SIN(climb_angle * PI() / 180) * ft_to_m</calculatedColumnFormula>
    </tableColumn>
    <tableColumn id="147" xr3:uid="{83AF1087-0D9B-4176-B7C6-41B204CCA36E}" name="todr_cal_reg" dataDxfId="0" dataCellStyle="Comma">
      <calculatedColumnFormula>Model[[#This Row],[todr_cal]] - Model[[#This Row],[todr_cal]] / tod_mul</calculatedColumnFormula>
    </tableColumn>
    <tableColumn id="146" xr3:uid="{3F2B395B-E3F7-4514-8092-D7F3D3073BE3}" name="todr_cal" dataDxfId="12" dataCellStyle="Comma">
      <calculatedColumnFormula array="1">_xlfn.XLOOKUP(Model[[#This Row],[type]] &amp; Model[[#This Row],[m]], Calibration[type] &amp;  Calibration[m], Calibration[todr_cal])</calculatedColumnFormula>
    </tableColumn>
    <tableColumn id="151" xr3:uid="{EA8101F9-74F7-4870-A05A-69F9F9876438}" name="diff_m" dataDxfId="11" dataCellStyle="Comma">
      <calculatedColumnFormula>ABS(Model[[#This Row],[todr_sim]] - Model[[#This Row],[todr_cal]])</calculatedColumnFormula>
    </tableColumn>
    <tableColumn id="152" xr3:uid="{6B726D15-0157-4E6C-BD2E-3DF555DB3A61}" name="diff_per" dataDxfId="10" dataCellStyle="Percent">
      <calculatedColumnFormula>Model[[#This Row],[diff_m]] / Model[[#This Row],[todr_cal]]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C14:D16" totalsRowShown="0">
  <autoFilter ref="C14:D16" xr:uid="{E12B42A8-FAA3-4C41-AA82-5D9B0FBC7988}">
    <filterColumn colId="0" hiddenButton="1"/>
    <filterColumn colId="1" hiddenButton="1"/>
  </autoFilter>
  <tableColumns count="2">
    <tableColumn id="1" xr3:uid="{B06869BD-03EE-4902-900E-F88BB24F8389}" name="Setting"/>
    <tableColumn id="2" xr3:uid="{8FBEA3C8-536E-488B-B496-E01848C55FAE}" name="Value" dataDxfId="9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F624EB-7742-4770-A932-A85DF0AEF404}" name="Solver" displayName="Solver" ref="F14:G15" totalsRowShown="0">
  <autoFilter ref="F14:G15" xr:uid="{5BF624EB-7742-4770-A932-A85DF0AEF404}">
    <filterColumn colId="0" hiddenButton="1"/>
    <filterColumn colId="1" hiddenButton="1"/>
  </autoFilter>
  <tableColumns count="2">
    <tableColumn id="1" xr3:uid="{D73C4AD4-E6B4-481E-8F90-7042675574EF}" name="Solver"/>
    <tableColumn id="2" xr3:uid="{B6C55A1D-988D-44D9-A485-6E1B53DBFC4E}" name="Value" dataDxfId="8" dataCellStyle="Comma">
      <calculatedColumnFormula>SUM(Model[diff_m])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I14:L37" totalsRowShown="0" headerRowDxfId="7" dataDxfId="6" headerRowCellStyle="Comma" dataCellStyle="Comma">
  <autoFilter ref="I14:L3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cL" dataDxfId="5" dataCellStyle="Comma"/>
    <tableColumn id="2" xr3:uid="{1F63C120-2D7C-4DFC-A65C-6FC7BE7C5851}" name="Min" dataDxfId="4" dataCellStyle="Comma">
      <calculatedColumnFormula array="1">MIN(IF(Model[[type]:[type]]=$I15,Model[[cD-mu*cL]:[cD-mu*cL]]))</calculatedColumnFormula>
    </tableColumn>
    <tableColumn id="3" xr3:uid="{09143535-1C17-474E-AD02-52CE69B11CB5}" name="Avg" dataDxfId="3" dataCellStyle="Comma">
      <calculatedColumnFormula array="1">AVERAGE(IF(Model[[type]:[type]]=$I15,Model[[cD-mu*cL]:[cD-mu*cL]]))</calculatedColumnFormula>
    </tableColumn>
    <tableColumn id="4" xr3:uid="{823E1EEB-0816-4E7E-804D-EB7F114ECBB6}" name="Max" dataDxfId="2" dataCellStyle="Comma">
      <calculatedColumnFormula array="1">MAX(IF(Model[[type]:[type]]=$I15,Model[[cD-mu*cL]:[cD-mu*cL]]))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/>
  <tableColumns count="3">
    <tableColumn id="1" xr3:uid="{CB6C8BD7-DFBE-46BB-87C1-647B9CC210DB}" name="type"/>
    <tableColumn id="2" xr3:uid="{06F33F27-9906-4016-9FDE-D955B3C758F2}" name="m"/>
    <tableColumn id="3" xr3:uid="{43699F7C-D0C1-4B3B-B9AB-485E44555CDB}" name="todr_c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1" dT="2022-04-17T09:44:36.66" personId="{C57D74D5-4C27-46DB-8CDE-11F225EC6C5D}" id="{7618CC59-D5CA-4BCF-928F-80609C80E974}">
    <text>Roksam recommends 1.6-2.2</text>
  </threadedComment>
  <threadedComment ref="AE1" dT="2022-04-17T09:44:19.12" personId="{C57D74D5-4C27-46DB-8CDE-11F225EC6C5D}" id="{2E0BD584-0F71-4C96-A2A7-D4D58D572D8F}">
    <text>Blake recommends .08</text>
  </threadedComment>
  <threadedComment ref="AG1" dT="2022-04-17T09:43:09.04" personId="{C57D74D5-4C27-46DB-8CDE-11F225EC6C5D}" id="{98A883AA-2A0B-4287-8634-D49EB81FF06B}">
    <text>Aeroweb suggests 72-81 m/s</text>
  </threadedComment>
  <threadedComment ref="EH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7" t="s">
        <v>85</v>
      </c>
      <c r="B1" s="10" t="s">
        <v>141</v>
      </c>
    </row>
    <row r="3" spans="1:3" x14ac:dyDescent="0.25">
      <c r="A3" s="7" t="s">
        <v>143</v>
      </c>
      <c r="B3" s="10" t="s">
        <v>146</v>
      </c>
      <c r="C3" s="10" t="s">
        <v>145</v>
      </c>
    </row>
    <row r="4" spans="1:3" x14ac:dyDescent="0.25">
      <c r="A4" s="9">
        <v>164500</v>
      </c>
      <c r="B4" s="8">
        <v>1581.1</v>
      </c>
      <c r="C4" s="8">
        <v>1581.0804131862476</v>
      </c>
    </row>
    <row r="5" spans="1:3" x14ac:dyDescent="0.25">
      <c r="A5" s="9">
        <v>164750</v>
      </c>
      <c r="B5" s="8">
        <v>1581.1</v>
      </c>
      <c r="C5" s="8">
        <v>1581.1098714869449</v>
      </c>
    </row>
    <row r="6" spans="1:3" x14ac:dyDescent="0.25">
      <c r="A6" s="9">
        <v>165000</v>
      </c>
      <c r="B6" s="8">
        <v>1582.4</v>
      </c>
      <c r="C6" s="8">
        <v>1582.3755033501593</v>
      </c>
    </row>
    <row r="7" spans="1:3" x14ac:dyDescent="0.25">
      <c r="A7" s="9">
        <v>165250</v>
      </c>
      <c r="B7" s="8">
        <v>1582.4</v>
      </c>
      <c r="C7" s="8">
        <v>1582.3861001787893</v>
      </c>
    </row>
    <row r="8" spans="1:3" x14ac:dyDescent="0.25">
      <c r="A8" s="9">
        <v>165500</v>
      </c>
      <c r="B8" s="8">
        <v>1583.7</v>
      </c>
      <c r="C8" s="8">
        <v>1583.7201120774182</v>
      </c>
    </row>
    <row r="9" spans="1:3" x14ac:dyDescent="0.25">
      <c r="A9" s="9">
        <v>165750</v>
      </c>
      <c r="B9" s="8">
        <v>1585</v>
      </c>
      <c r="C9" s="8">
        <v>1584.9825264799856</v>
      </c>
    </row>
    <row r="10" spans="1:3" x14ac:dyDescent="0.25">
      <c r="A10" s="9">
        <v>166000</v>
      </c>
      <c r="B10" s="8">
        <v>1585</v>
      </c>
      <c r="C10" s="8">
        <v>1585.0181645362059</v>
      </c>
    </row>
    <row r="11" spans="1:3" x14ac:dyDescent="0.25">
      <c r="A11" s="9">
        <v>166250</v>
      </c>
      <c r="B11" s="8">
        <v>1586.3</v>
      </c>
      <c r="C11" s="8">
        <v>1586.3279986177647</v>
      </c>
    </row>
    <row r="12" spans="1:3" x14ac:dyDescent="0.25">
      <c r="A12" s="9">
        <v>166500</v>
      </c>
      <c r="B12" s="8">
        <v>1587.6</v>
      </c>
      <c r="C12" s="8">
        <v>1587.5874296464874</v>
      </c>
    </row>
    <row r="13" spans="1:3" x14ac:dyDescent="0.25">
      <c r="A13" s="9">
        <v>166750</v>
      </c>
      <c r="B13" s="8">
        <v>1587.6</v>
      </c>
      <c r="C13" s="8">
        <v>1587.5866863767721</v>
      </c>
    </row>
    <row r="14" spans="1:3" x14ac:dyDescent="0.25">
      <c r="A14" s="9">
        <v>167000</v>
      </c>
      <c r="B14" s="8">
        <v>1588.9</v>
      </c>
      <c r="C14" s="8">
        <v>1588.9026675399846</v>
      </c>
    </row>
    <row r="15" spans="1:3" x14ac:dyDescent="0.25">
      <c r="A15" s="9">
        <v>167250</v>
      </c>
      <c r="B15" s="8">
        <v>1590.1</v>
      </c>
      <c r="C15" s="8">
        <v>1590.0576636544199</v>
      </c>
    </row>
    <row r="16" spans="1:3" x14ac:dyDescent="0.25">
      <c r="A16" s="9">
        <v>167500</v>
      </c>
      <c r="B16" s="8">
        <v>1590.1</v>
      </c>
      <c r="C16" s="8">
        <v>1590.1490034633127</v>
      </c>
    </row>
    <row r="17" spans="1:3" x14ac:dyDescent="0.25">
      <c r="A17" s="9">
        <v>167750</v>
      </c>
      <c r="B17" s="8">
        <v>1591.4</v>
      </c>
      <c r="C17" s="8">
        <v>1591.4289234840001</v>
      </c>
    </row>
    <row r="18" spans="1:3" x14ac:dyDescent="0.25">
      <c r="A18" s="9">
        <v>168000</v>
      </c>
      <c r="B18" s="8">
        <v>1592.7</v>
      </c>
      <c r="C18" s="8">
        <v>1592.7145125301622</v>
      </c>
    </row>
    <row r="19" spans="1:3" x14ac:dyDescent="0.25">
      <c r="A19" s="9">
        <v>168250</v>
      </c>
      <c r="B19" s="8">
        <v>1594</v>
      </c>
      <c r="C19" s="8">
        <v>1593.9874314427541</v>
      </c>
    </row>
    <row r="20" spans="1:3" x14ac:dyDescent="0.25">
      <c r="A20" s="9">
        <v>168500</v>
      </c>
      <c r="B20" s="8">
        <v>1594</v>
      </c>
      <c r="C20" s="8">
        <v>1594.0052481529642</v>
      </c>
    </row>
    <row r="21" spans="1:3" x14ac:dyDescent="0.25">
      <c r="A21" s="9">
        <v>168750</v>
      </c>
      <c r="B21" s="8">
        <v>1595.3</v>
      </c>
      <c r="C21" s="8">
        <v>1595.2737886458801</v>
      </c>
    </row>
    <row r="22" spans="1:3" x14ac:dyDescent="0.25">
      <c r="A22" s="9">
        <v>169000</v>
      </c>
      <c r="B22" s="8">
        <v>1596.6</v>
      </c>
      <c r="C22" s="8">
        <v>1596.6026242162504</v>
      </c>
    </row>
    <row r="23" spans="1:3" x14ac:dyDescent="0.25">
      <c r="A23" s="9">
        <v>169250</v>
      </c>
      <c r="B23" s="8">
        <v>1597.9</v>
      </c>
      <c r="C23" s="8">
        <v>1597.8825173286486</v>
      </c>
    </row>
    <row r="24" spans="1:3" x14ac:dyDescent="0.25">
      <c r="A24" s="9">
        <v>169500</v>
      </c>
      <c r="B24" s="8">
        <v>1597.9</v>
      </c>
      <c r="C24" s="8">
        <v>1597.8829885018856</v>
      </c>
    </row>
    <row r="25" spans="1:3" x14ac:dyDescent="0.25">
      <c r="A25" s="9">
        <v>169750</v>
      </c>
      <c r="B25" s="8">
        <v>1599.2</v>
      </c>
      <c r="C25" s="8">
        <v>1599.1947997834698</v>
      </c>
    </row>
    <row r="26" spans="1:3" x14ac:dyDescent="0.25">
      <c r="A26" s="9">
        <v>170000</v>
      </c>
      <c r="B26" s="8">
        <v>1599.2</v>
      </c>
      <c r="C26" s="8">
        <v>1599.2162166977257</v>
      </c>
    </row>
    <row r="27" spans="1:3" x14ac:dyDescent="0.25">
      <c r="A27" s="9">
        <v>170250</v>
      </c>
      <c r="B27" s="8">
        <v>1600.5</v>
      </c>
      <c r="C27" s="8">
        <v>1600.5236852395954</v>
      </c>
    </row>
    <row r="28" spans="1:3" x14ac:dyDescent="0.25">
      <c r="A28" s="9">
        <v>170500</v>
      </c>
      <c r="B28" s="8">
        <v>1601.8</v>
      </c>
      <c r="C28" s="8">
        <v>1601.8009459136995</v>
      </c>
    </row>
    <row r="29" spans="1:3" x14ac:dyDescent="0.25">
      <c r="A29" s="9">
        <v>170750</v>
      </c>
      <c r="B29" s="8">
        <v>1603.1</v>
      </c>
      <c r="C29" s="8">
        <v>1603.1197141529135</v>
      </c>
    </row>
    <row r="30" spans="1:3" x14ac:dyDescent="0.25">
      <c r="A30" s="9">
        <v>171000</v>
      </c>
      <c r="B30" s="8">
        <v>1603.1</v>
      </c>
      <c r="C30" s="8">
        <v>1603.0889307215289</v>
      </c>
    </row>
    <row r="31" spans="1:3" x14ac:dyDescent="0.25">
      <c r="A31" s="9">
        <v>171250</v>
      </c>
      <c r="B31" s="8">
        <v>1604.4</v>
      </c>
      <c r="C31" s="8">
        <v>1604.4214024038251</v>
      </c>
    </row>
    <row r="32" spans="1:3" x14ac:dyDescent="0.25">
      <c r="A32" s="9">
        <v>171500</v>
      </c>
      <c r="B32" s="8">
        <v>1605.7</v>
      </c>
      <c r="C32" s="8">
        <v>1605.7239353244781</v>
      </c>
    </row>
    <row r="33" spans="1:3" x14ac:dyDescent="0.25">
      <c r="A33" s="9">
        <v>171750</v>
      </c>
      <c r="B33" s="8">
        <v>1605.7</v>
      </c>
      <c r="C33" s="8">
        <v>1605.6871602898791</v>
      </c>
    </row>
    <row r="34" spans="1:3" x14ac:dyDescent="0.25">
      <c r="A34" s="9">
        <v>172000</v>
      </c>
      <c r="B34" s="8">
        <v>1606.9</v>
      </c>
      <c r="C34" s="8">
        <v>1606.8800446411444</v>
      </c>
    </row>
    <row r="35" spans="1:3" x14ac:dyDescent="0.25">
      <c r="A35" s="9">
        <v>172250</v>
      </c>
      <c r="B35" s="8">
        <v>1608.2</v>
      </c>
      <c r="C35" s="8">
        <v>1608.184707271698</v>
      </c>
    </row>
    <row r="36" spans="1:3" x14ac:dyDescent="0.25">
      <c r="A36" s="9">
        <v>172500</v>
      </c>
      <c r="B36" s="8">
        <v>1608.2</v>
      </c>
      <c r="C36" s="8">
        <v>1608.2130205497895</v>
      </c>
    </row>
    <row r="37" spans="1:3" x14ac:dyDescent="0.25">
      <c r="A37" s="9">
        <v>172750</v>
      </c>
      <c r="B37" s="8">
        <v>1609.5</v>
      </c>
      <c r="C37" s="8">
        <v>1609.5314557396032</v>
      </c>
    </row>
    <row r="38" spans="1:3" x14ac:dyDescent="0.25">
      <c r="A38" s="9">
        <v>173000</v>
      </c>
      <c r="B38" s="8">
        <v>1610.8</v>
      </c>
      <c r="C38" s="8">
        <v>1610.8205796251766</v>
      </c>
    </row>
    <row r="39" spans="1:3" x14ac:dyDescent="0.25">
      <c r="A39" s="9">
        <v>173250</v>
      </c>
      <c r="B39" s="8">
        <v>1610.8</v>
      </c>
      <c r="C39" s="8">
        <v>1610.8081454081</v>
      </c>
    </row>
    <row r="40" spans="1:3" x14ac:dyDescent="0.25">
      <c r="A40" s="9">
        <v>173500</v>
      </c>
      <c r="B40" s="8">
        <v>1612.1</v>
      </c>
      <c r="C40" s="8">
        <v>1612.1112758431252</v>
      </c>
    </row>
    <row r="41" spans="1:3" x14ac:dyDescent="0.25">
      <c r="A41" s="9">
        <v>173750</v>
      </c>
      <c r="B41" s="8">
        <v>1613.4</v>
      </c>
      <c r="C41" s="8">
        <v>1613.4027862401906</v>
      </c>
    </row>
    <row r="42" spans="1:3" x14ac:dyDescent="0.25">
      <c r="A42" s="9">
        <v>174000</v>
      </c>
      <c r="B42" s="8">
        <v>1613.4</v>
      </c>
      <c r="C42" s="8">
        <v>1613.4371100924413</v>
      </c>
    </row>
    <row r="43" spans="1:3" x14ac:dyDescent="0.25">
      <c r="A43" s="9">
        <v>174250</v>
      </c>
      <c r="B43" s="8">
        <v>1614.7</v>
      </c>
      <c r="C43" s="8">
        <v>1614.6908059135369</v>
      </c>
    </row>
    <row r="44" spans="1:3" x14ac:dyDescent="0.25">
      <c r="A44" s="9">
        <v>174500</v>
      </c>
      <c r="B44" s="8">
        <v>1616</v>
      </c>
      <c r="C44" s="8">
        <v>1615.9848810391056</v>
      </c>
    </row>
    <row r="45" spans="1:3" x14ac:dyDescent="0.25">
      <c r="A45" s="9">
        <v>174750</v>
      </c>
      <c r="B45" s="8">
        <v>1616</v>
      </c>
      <c r="C45" s="8">
        <v>1616.0140765855267</v>
      </c>
    </row>
    <row r="46" spans="1:3" x14ac:dyDescent="0.25">
      <c r="A46" s="9">
        <v>175000</v>
      </c>
      <c r="B46" s="8">
        <v>1617.3</v>
      </c>
      <c r="C46" s="8">
        <v>1617.3221304396775</v>
      </c>
    </row>
    <row r="47" spans="1:3" x14ac:dyDescent="0.25">
      <c r="A47" s="9">
        <v>175250</v>
      </c>
      <c r="B47" s="8">
        <v>1618.6</v>
      </c>
      <c r="C47" s="8">
        <v>1618.6017590624517</v>
      </c>
    </row>
    <row r="48" spans="1:3" x14ac:dyDescent="0.25">
      <c r="A48" s="9">
        <v>175500</v>
      </c>
      <c r="B48" s="8">
        <v>1618.6</v>
      </c>
      <c r="C48" s="8">
        <v>1618.5749757148571</v>
      </c>
    </row>
    <row r="49" spans="1:3" x14ac:dyDescent="0.25">
      <c r="A49" s="9">
        <v>175750</v>
      </c>
      <c r="B49" s="8">
        <v>1619.9</v>
      </c>
      <c r="C49" s="8">
        <v>1619.8858396656285</v>
      </c>
    </row>
    <row r="50" spans="1:3" x14ac:dyDescent="0.25">
      <c r="A50" s="9">
        <v>176000</v>
      </c>
      <c r="B50" s="8">
        <v>1621.2</v>
      </c>
      <c r="C50" s="8">
        <v>1621.168549037206</v>
      </c>
    </row>
    <row r="51" spans="1:3" x14ac:dyDescent="0.25">
      <c r="A51" s="9">
        <v>176250</v>
      </c>
      <c r="B51" s="8">
        <v>1621.2</v>
      </c>
      <c r="C51" s="8">
        <v>1621.2053968901216</v>
      </c>
    </row>
    <row r="52" spans="1:3" x14ac:dyDescent="0.25">
      <c r="A52" s="9">
        <v>176500</v>
      </c>
      <c r="B52" s="8">
        <v>1622.5</v>
      </c>
      <c r="C52" s="8">
        <v>1622.4685147249961</v>
      </c>
    </row>
    <row r="53" spans="1:3" x14ac:dyDescent="0.25">
      <c r="A53" s="9">
        <v>176750</v>
      </c>
      <c r="B53" s="8">
        <v>1623.7</v>
      </c>
      <c r="C53" s="8">
        <v>1623.7039418235495</v>
      </c>
    </row>
    <row r="54" spans="1:3" x14ac:dyDescent="0.25">
      <c r="A54" s="9">
        <v>177000</v>
      </c>
      <c r="B54" s="8">
        <v>1623.7</v>
      </c>
      <c r="C54" s="8">
        <v>1623.6696926890752</v>
      </c>
    </row>
    <row r="55" spans="1:3" x14ac:dyDescent="0.25">
      <c r="A55" s="9">
        <v>177250</v>
      </c>
      <c r="B55" s="8">
        <v>1625</v>
      </c>
      <c r="C55" s="8">
        <v>1625.020250144069</v>
      </c>
    </row>
    <row r="56" spans="1:3" x14ac:dyDescent="0.25">
      <c r="A56" s="9">
        <v>177500</v>
      </c>
      <c r="B56" s="8">
        <v>1626.3</v>
      </c>
      <c r="C56" s="8">
        <v>1626.2762272013981</v>
      </c>
    </row>
    <row r="57" spans="1:3" x14ac:dyDescent="0.25">
      <c r="A57" s="9">
        <v>177750</v>
      </c>
      <c r="B57" s="8">
        <v>1627.6</v>
      </c>
      <c r="C57" s="8">
        <v>1627.5882775413404</v>
      </c>
    </row>
    <row r="58" spans="1:3" x14ac:dyDescent="0.25">
      <c r="A58" s="9">
        <v>178000</v>
      </c>
      <c r="B58" s="8">
        <v>1627.6</v>
      </c>
      <c r="C58" s="8">
        <v>1627.592343519862</v>
      </c>
    </row>
    <row r="59" spans="1:3" x14ac:dyDescent="0.25">
      <c r="A59" s="9">
        <v>178250</v>
      </c>
      <c r="B59" s="8">
        <v>1628.9</v>
      </c>
      <c r="C59" s="8">
        <v>1628.8687579359178</v>
      </c>
    </row>
    <row r="60" spans="1:3" x14ac:dyDescent="0.25">
      <c r="A60" s="9">
        <v>178500</v>
      </c>
      <c r="B60" s="8">
        <v>1630.2</v>
      </c>
      <c r="C60" s="8">
        <v>1630.1842694731395</v>
      </c>
    </row>
    <row r="61" spans="1:3" x14ac:dyDescent="0.25">
      <c r="A61" s="9">
        <v>178750</v>
      </c>
      <c r="B61" s="8">
        <v>1631.5</v>
      </c>
      <c r="C61" s="8">
        <v>1631.5221588519423</v>
      </c>
    </row>
    <row r="62" spans="1:3" x14ac:dyDescent="0.25">
      <c r="A62" s="9">
        <v>179000</v>
      </c>
      <c r="B62" s="8">
        <v>1631.5</v>
      </c>
      <c r="C62" s="8">
        <v>1631.5147742253941</v>
      </c>
    </row>
    <row r="63" spans="1:3" x14ac:dyDescent="0.25">
      <c r="A63" s="9">
        <v>179250</v>
      </c>
      <c r="B63" s="8">
        <v>1632.8</v>
      </c>
      <c r="C63" s="8">
        <v>1632.8009706089001</v>
      </c>
    </row>
    <row r="64" spans="1:3" x14ac:dyDescent="0.25">
      <c r="A64" s="9">
        <v>179500</v>
      </c>
      <c r="B64" s="8">
        <v>1634.1</v>
      </c>
      <c r="C64" s="8">
        <v>1634.0931630556618</v>
      </c>
    </row>
    <row r="65" spans="1:3" x14ac:dyDescent="0.25">
      <c r="A65" s="9">
        <v>179750</v>
      </c>
      <c r="B65" s="8">
        <v>1634.1</v>
      </c>
      <c r="C65" s="8">
        <v>1634.0994970455886</v>
      </c>
    </row>
    <row r="66" spans="1:3" x14ac:dyDescent="0.25">
      <c r="A66" s="9">
        <v>180000</v>
      </c>
      <c r="B66" s="8">
        <v>1635.4</v>
      </c>
      <c r="C66" s="8">
        <v>1635.3897827207732</v>
      </c>
    </row>
    <row r="67" spans="1:3" x14ac:dyDescent="0.25">
      <c r="A67" s="9">
        <v>180250</v>
      </c>
      <c r="B67" s="8">
        <v>1636.7</v>
      </c>
      <c r="C67" s="8">
        <v>1636.7023549309295</v>
      </c>
    </row>
    <row r="68" spans="1:3" x14ac:dyDescent="0.25">
      <c r="A68" s="9">
        <v>180500</v>
      </c>
      <c r="B68" s="8">
        <v>1636.7</v>
      </c>
      <c r="C68" s="8">
        <v>1636.7223799557078</v>
      </c>
    </row>
    <row r="69" spans="1:3" x14ac:dyDescent="0.25">
      <c r="A69" s="9">
        <v>180750</v>
      </c>
      <c r="B69" s="8">
        <v>1638</v>
      </c>
      <c r="C69" s="8">
        <v>1638.0006803014742</v>
      </c>
    </row>
    <row r="70" spans="1:3" x14ac:dyDescent="0.25">
      <c r="A70" s="9">
        <v>181000</v>
      </c>
      <c r="B70" s="8">
        <v>1639.3</v>
      </c>
      <c r="C70" s="8">
        <v>1639.3173777238949</v>
      </c>
    </row>
    <row r="71" spans="1:3" x14ac:dyDescent="0.25">
      <c r="A71" s="9">
        <v>181250</v>
      </c>
      <c r="B71" s="8">
        <v>1639.3</v>
      </c>
      <c r="C71" s="8">
        <v>1639.318996856385</v>
      </c>
    </row>
    <row r="72" spans="1:3" x14ac:dyDescent="0.25">
      <c r="A72" s="9">
        <v>181500</v>
      </c>
      <c r="B72" s="8">
        <v>1640.5</v>
      </c>
      <c r="C72" s="8">
        <v>1640.5054719848538</v>
      </c>
    </row>
    <row r="73" spans="1:3" x14ac:dyDescent="0.25">
      <c r="A73" s="9">
        <v>181750</v>
      </c>
      <c r="B73" s="8">
        <v>1641.8</v>
      </c>
      <c r="C73" s="8">
        <v>1641.7946154619376</v>
      </c>
    </row>
    <row r="74" spans="1:3" x14ac:dyDescent="0.25">
      <c r="A74" s="9">
        <v>182000</v>
      </c>
      <c r="B74" s="8">
        <v>1643.1</v>
      </c>
      <c r="C74" s="8">
        <v>1643.0898499473515</v>
      </c>
    </row>
    <row r="75" spans="1:3" x14ac:dyDescent="0.25">
      <c r="A75" s="9">
        <v>182250</v>
      </c>
      <c r="B75" s="8">
        <v>1644.4</v>
      </c>
      <c r="C75" s="8">
        <v>1644.3911650981593</v>
      </c>
    </row>
    <row r="76" spans="1:3" x14ac:dyDescent="0.25">
      <c r="A76" s="9">
        <v>182500</v>
      </c>
      <c r="B76" s="8">
        <v>1644.4</v>
      </c>
      <c r="C76" s="8">
        <v>1644.4085080555974</v>
      </c>
    </row>
    <row r="77" spans="1:3" x14ac:dyDescent="0.25">
      <c r="A77" s="9">
        <v>182750</v>
      </c>
      <c r="B77" s="8">
        <v>1645.7</v>
      </c>
      <c r="C77" s="8">
        <v>1645.7402642099169</v>
      </c>
    </row>
    <row r="78" spans="1:3" x14ac:dyDescent="0.25">
      <c r="A78" s="9">
        <v>183000</v>
      </c>
      <c r="B78" s="8">
        <v>1647</v>
      </c>
      <c r="C78" s="8">
        <v>1647.014587375646</v>
      </c>
    </row>
    <row r="79" spans="1:3" x14ac:dyDescent="0.25">
      <c r="A79" s="9">
        <v>183250</v>
      </c>
      <c r="B79" s="8">
        <v>1648.3</v>
      </c>
      <c r="C79" s="8">
        <v>1648.3425847371432</v>
      </c>
    </row>
    <row r="80" spans="1:3" x14ac:dyDescent="0.25">
      <c r="A80" s="9">
        <v>183500</v>
      </c>
      <c r="B80" s="8">
        <v>1649.6</v>
      </c>
      <c r="C80" s="8">
        <v>1649.5976394255024</v>
      </c>
    </row>
    <row r="81" spans="1:3" x14ac:dyDescent="0.25">
      <c r="A81" s="9">
        <v>183750</v>
      </c>
      <c r="B81" s="8">
        <v>1649.6</v>
      </c>
      <c r="C81" s="8">
        <v>1649.5992573818066</v>
      </c>
    </row>
    <row r="82" spans="1:3" x14ac:dyDescent="0.25">
      <c r="A82" s="9">
        <v>184000</v>
      </c>
      <c r="B82" s="8">
        <v>1650.9</v>
      </c>
      <c r="C82" s="8">
        <v>1650.9164843911412</v>
      </c>
    </row>
    <row r="83" spans="1:3" x14ac:dyDescent="0.25">
      <c r="A83" s="9">
        <v>184250</v>
      </c>
      <c r="B83" s="8">
        <v>1652.2</v>
      </c>
      <c r="C83" s="8">
        <v>1652.2241317238659</v>
      </c>
    </row>
    <row r="84" spans="1:3" x14ac:dyDescent="0.25">
      <c r="A84" s="9">
        <v>184500</v>
      </c>
      <c r="B84" s="8">
        <v>1652.2</v>
      </c>
      <c r="C84" s="8">
        <v>1652.1937549341023</v>
      </c>
    </row>
    <row r="85" spans="1:3" x14ac:dyDescent="0.25">
      <c r="A85" s="9">
        <v>184750</v>
      </c>
      <c r="B85" s="8">
        <v>1653.5</v>
      </c>
      <c r="C85" s="8">
        <v>1653.5006201840006</v>
      </c>
    </row>
    <row r="86" spans="1:3" x14ac:dyDescent="0.25">
      <c r="A86" s="9">
        <v>185000</v>
      </c>
      <c r="B86" s="8">
        <v>1654.8</v>
      </c>
      <c r="C86" s="8">
        <v>1654.7669881120105</v>
      </c>
    </row>
    <row r="87" spans="1:3" x14ac:dyDescent="0.25">
      <c r="A87" s="9">
        <v>185250</v>
      </c>
      <c r="B87" s="8">
        <v>1656.1</v>
      </c>
      <c r="C87" s="8">
        <v>1656.1017990799326</v>
      </c>
    </row>
    <row r="88" spans="1:3" x14ac:dyDescent="0.25">
      <c r="A88" s="9">
        <v>185500</v>
      </c>
      <c r="B88" s="8">
        <v>1657.3</v>
      </c>
      <c r="C88" s="8">
        <v>1657.3187335679363</v>
      </c>
    </row>
    <row r="89" spans="1:3" x14ac:dyDescent="0.25">
      <c r="A89" s="9">
        <v>185750</v>
      </c>
      <c r="B89" s="8">
        <v>1657.3</v>
      </c>
      <c r="C89" s="8">
        <v>1657.2907408631672</v>
      </c>
    </row>
    <row r="90" spans="1:3" x14ac:dyDescent="0.25">
      <c r="A90" s="9">
        <v>186000</v>
      </c>
      <c r="B90" s="8">
        <v>1658.6</v>
      </c>
      <c r="C90" s="8">
        <v>1658.6311554351569</v>
      </c>
    </row>
    <row r="91" spans="1:3" x14ac:dyDescent="0.25">
      <c r="A91" s="9">
        <v>186250</v>
      </c>
      <c r="B91" s="8">
        <v>1659.9</v>
      </c>
      <c r="C91" s="8">
        <v>1659.9161639299743</v>
      </c>
    </row>
    <row r="92" spans="1:3" x14ac:dyDescent="0.25">
      <c r="A92" s="9">
        <v>186500</v>
      </c>
      <c r="B92" s="8">
        <v>1661.2</v>
      </c>
      <c r="C92" s="8">
        <v>1661.2382074949512</v>
      </c>
    </row>
    <row r="93" spans="1:3" x14ac:dyDescent="0.25">
      <c r="A93" s="9">
        <v>186750</v>
      </c>
      <c r="B93" s="8">
        <v>1662.5</v>
      </c>
      <c r="C93" s="8">
        <v>1662.4745405216474</v>
      </c>
    </row>
    <row r="94" spans="1:3" x14ac:dyDescent="0.25">
      <c r="A94" s="9">
        <v>187000</v>
      </c>
      <c r="B94" s="8">
        <v>1662.5</v>
      </c>
      <c r="C94" s="8">
        <v>1662.4953659960449</v>
      </c>
    </row>
    <row r="95" spans="1:3" x14ac:dyDescent="0.25">
      <c r="A95" s="9">
        <v>187250</v>
      </c>
      <c r="B95" s="8">
        <v>1663.8</v>
      </c>
      <c r="C95" s="8">
        <v>1663.7776932123309</v>
      </c>
    </row>
    <row r="96" spans="1:3" x14ac:dyDescent="0.25">
      <c r="A96" s="9">
        <v>187500</v>
      </c>
      <c r="B96" s="8">
        <v>1665.1</v>
      </c>
      <c r="C96" s="8">
        <v>1665.0816267742437</v>
      </c>
    </row>
    <row r="97" spans="1:3" x14ac:dyDescent="0.25">
      <c r="A97" s="9">
        <v>187750</v>
      </c>
      <c r="B97" s="8">
        <v>1666.4</v>
      </c>
      <c r="C97" s="8">
        <v>1666.4222463721023</v>
      </c>
    </row>
    <row r="98" spans="1:3" x14ac:dyDescent="0.25">
      <c r="A98" s="9">
        <v>188000</v>
      </c>
      <c r="B98" s="8">
        <v>1667.7</v>
      </c>
      <c r="C98" s="8">
        <v>1667.7084898120472</v>
      </c>
    </row>
    <row r="99" spans="1:3" x14ac:dyDescent="0.25">
      <c r="A99" s="9">
        <v>188250</v>
      </c>
      <c r="B99" s="8">
        <v>1667.7</v>
      </c>
      <c r="C99" s="8">
        <v>1667.7173295525361</v>
      </c>
    </row>
    <row r="100" spans="1:3" x14ac:dyDescent="0.25">
      <c r="A100" s="9">
        <v>188500</v>
      </c>
      <c r="B100" s="8">
        <v>1669</v>
      </c>
      <c r="C100" s="8">
        <v>1668.9887776167313</v>
      </c>
    </row>
    <row r="101" spans="1:3" x14ac:dyDescent="0.25">
      <c r="A101" s="9">
        <v>188750</v>
      </c>
      <c r="B101" s="8">
        <v>1670.3</v>
      </c>
      <c r="C101" s="8">
        <v>1670.3268738863708</v>
      </c>
    </row>
    <row r="102" spans="1:3" x14ac:dyDescent="0.25">
      <c r="A102" s="9">
        <v>189000</v>
      </c>
      <c r="B102" s="8">
        <v>1671.6</v>
      </c>
      <c r="C102" s="8">
        <v>1671.5962301594536</v>
      </c>
    </row>
    <row r="103" spans="1:3" x14ac:dyDescent="0.25">
      <c r="A103" s="9">
        <v>189250</v>
      </c>
      <c r="B103" s="8">
        <v>1672.9</v>
      </c>
      <c r="C103" s="8">
        <v>1672.8721463423528</v>
      </c>
    </row>
    <row r="104" spans="1:3" x14ac:dyDescent="0.25">
      <c r="A104" s="9">
        <v>189500</v>
      </c>
      <c r="B104" s="8">
        <v>1672.9</v>
      </c>
      <c r="C104" s="8">
        <v>1672.9152530664308</v>
      </c>
    </row>
    <row r="105" spans="1:3" x14ac:dyDescent="0.25">
      <c r="A105" s="9">
        <v>189750</v>
      </c>
      <c r="B105" s="8">
        <v>1674.1</v>
      </c>
      <c r="C105" s="8">
        <v>1674.0726677440716</v>
      </c>
    </row>
    <row r="106" spans="1:3" x14ac:dyDescent="0.25">
      <c r="A106" s="9">
        <v>190000</v>
      </c>
      <c r="B106" s="8">
        <v>1676.7</v>
      </c>
      <c r="C106" s="8">
        <v>1676.7093904289213</v>
      </c>
    </row>
    <row r="107" spans="1:3" x14ac:dyDescent="0.25">
      <c r="A107" s="9">
        <v>190250</v>
      </c>
      <c r="B107" s="8">
        <v>1676.7</v>
      </c>
      <c r="C107" s="8">
        <v>1676.6755664116697</v>
      </c>
    </row>
    <row r="108" spans="1:3" x14ac:dyDescent="0.25">
      <c r="A108" s="9">
        <v>190500</v>
      </c>
      <c r="B108" s="8">
        <v>1678</v>
      </c>
      <c r="C108" s="8">
        <v>1677.9719701791787</v>
      </c>
    </row>
    <row r="109" spans="1:3" x14ac:dyDescent="0.25">
      <c r="A109" s="9">
        <v>190750</v>
      </c>
      <c r="B109" s="8">
        <v>1679.3</v>
      </c>
      <c r="C109" s="8">
        <v>1679.2896976197953</v>
      </c>
    </row>
    <row r="110" spans="1:3" x14ac:dyDescent="0.25">
      <c r="A110" s="9">
        <v>191000</v>
      </c>
      <c r="B110" s="8">
        <v>1680.6</v>
      </c>
      <c r="C110" s="8">
        <v>1680.5844213913742</v>
      </c>
    </row>
    <row r="111" spans="1:3" x14ac:dyDescent="0.25">
      <c r="A111" s="9">
        <v>191250</v>
      </c>
      <c r="B111" s="8">
        <v>1681.9</v>
      </c>
      <c r="C111" s="8">
        <v>1681.9004531586654</v>
      </c>
    </row>
    <row r="112" spans="1:3" x14ac:dyDescent="0.25">
      <c r="A112" s="9">
        <v>191500</v>
      </c>
      <c r="B112" s="8">
        <v>1681.9</v>
      </c>
      <c r="C112" s="8">
        <v>1681.8876068763086</v>
      </c>
    </row>
    <row r="113" spans="1:3" x14ac:dyDescent="0.25">
      <c r="A113" s="9">
        <v>191750</v>
      </c>
      <c r="B113" s="8">
        <v>1684.5</v>
      </c>
      <c r="C113" s="8">
        <v>1684.4934532281923</v>
      </c>
    </row>
    <row r="114" spans="1:3" x14ac:dyDescent="0.25">
      <c r="A114" s="9">
        <v>192000</v>
      </c>
      <c r="B114" s="8">
        <v>1684.5</v>
      </c>
      <c r="C114" s="8">
        <v>1684.4843153365707</v>
      </c>
    </row>
    <row r="115" spans="1:3" x14ac:dyDescent="0.25">
      <c r="A115" s="9">
        <v>192250</v>
      </c>
      <c r="B115" s="8">
        <v>1685.8</v>
      </c>
      <c r="C115" s="8">
        <v>1685.8290622018601</v>
      </c>
    </row>
    <row r="116" spans="1:3" x14ac:dyDescent="0.25">
      <c r="A116" s="9">
        <v>192500</v>
      </c>
      <c r="B116" s="8">
        <v>1687.1</v>
      </c>
      <c r="C116" s="8">
        <v>1687.1075505071276</v>
      </c>
    </row>
    <row r="117" spans="1:3" x14ac:dyDescent="0.25">
      <c r="A117" s="9">
        <v>192750</v>
      </c>
      <c r="B117" s="8">
        <v>1687.1</v>
      </c>
      <c r="C117" s="8">
        <v>1687.1017055834848</v>
      </c>
    </row>
    <row r="118" spans="1:3" x14ac:dyDescent="0.25">
      <c r="A118" s="9">
        <v>193000</v>
      </c>
      <c r="B118" s="8">
        <v>1689.7</v>
      </c>
      <c r="C118" s="8">
        <v>1689.6847955342648</v>
      </c>
    </row>
    <row r="119" spans="1:3" x14ac:dyDescent="0.25">
      <c r="A119" s="9">
        <v>193250</v>
      </c>
      <c r="B119" s="8">
        <v>1689.7</v>
      </c>
      <c r="C119" s="8">
        <v>1689.7119282983965</v>
      </c>
    </row>
    <row r="120" spans="1:3" x14ac:dyDescent="0.25">
      <c r="A120" s="9">
        <v>193500</v>
      </c>
      <c r="B120" s="8">
        <v>1690.9</v>
      </c>
      <c r="C120" s="8">
        <v>1690.9046115254555</v>
      </c>
    </row>
    <row r="121" spans="1:3" x14ac:dyDescent="0.25">
      <c r="A121" s="9">
        <v>193750</v>
      </c>
      <c r="B121" s="8">
        <v>1690.9</v>
      </c>
      <c r="C121" s="8">
        <v>1690.8690878854998</v>
      </c>
    </row>
    <row r="122" spans="1:3" x14ac:dyDescent="0.25">
      <c r="A122" s="9">
        <v>194000</v>
      </c>
      <c r="B122" s="8">
        <v>1692.2</v>
      </c>
      <c r="C122" s="8">
        <v>1692.1789587089461</v>
      </c>
    </row>
    <row r="123" spans="1:3" x14ac:dyDescent="0.25">
      <c r="A123" s="9">
        <v>194250</v>
      </c>
      <c r="B123" s="8">
        <v>1693.5</v>
      </c>
      <c r="C123" s="8">
        <v>1693.4955697667669</v>
      </c>
    </row>
    <row r="124" spans="1:3" x14ac:dyDescent="0.25">
      <c r="A124" s="9">
        <v>194500</v>
      </c>
      <c r="B124" s="8">
        <v>1694.8</v>
      </c>
      <c r="C124" s="8">
        <v>1694.8189144021421</v>
      </c>
    </row>
    <row r="125" spans="1:3" x14ac:dyDescent="0.25">
      <c r="A125" s="9">
        <v>194750</v>
      </c>
      <c r="B125" s="8">
        <v>1696.1</v>
      </c>
      <c r="C125" s="8">
        <v>1696.0920199484779</v>
      </c>
    </row>
    <row r="126" spans="1:3" x14ac:dyDescent="0.25">
      <c r="A126" s="9">
        <v>195000</v>
      </c>
      <c r="B126" s="8">
        <v>1696.1</v>
      </c>
      <c r="C126" s="8">
        <v>1696.0940488222197</v>
      </c>
    </row>
    <row r="127" spans="1:3" x14ac:dyDescent="0.25">
      <c r="A127" s="9">
        <v>195250</v>
      </c>
      <c r="B127" s="8">
        <v>1697.4</v>
      </c>
      <c r="C127" s="8">
        <v>1697.3977304261232</v>
      </c>
    </row>
    <row r="128" spans="1:3" x14ac:dyDescent="0.25">
      <c r="A128" s="9">
        <v>195500</v>
      </c>
      <c r="B128" s="8">
        <v>1698.7</v>
      </c>
      <c r="C128" s="8">
        <v>1698.6800068100204</v>
      </c>
    </row>
    <row r="129" spans="1:3" x14ac:dyDescent="0.25">
      <c r="A129" s="9">
        <v>195750</v>
      </c>
      <c r="B129" s="8">
        <v>1698.7</v>
      </c>
      <c r="C129" s="8">
        <v>1698.6728588923418</v>
      </c>
    </row>
    <row r="130" spans="1:3" x14ac:dyDescent="0.25">
      <c r="A130" s="9">
        <v>196000</v>
      </c>
      <c r="B130" s="8">
        <v>1700</v>
      </c>
      <c r="C130" s="8">
        <v>1699.9716199393235</v>
      </c>
    </row>
    <row r="131" spans="1:3" x14ac:dyDescent="0.25">
      <c r="A131" s="9">
        <v>196250</v>
      </c>
      <c r="B131" s="8">
        <v>1701.3</v>
      </c>
      <c r="C131" s="8">
        <v>1701.2773161361563</v>
      </c>
    </row>
    <row r="132" spans="1:3" x14ac:dyDescent="0.25">
      <c r="A132" s="9">
        <v>196500</v>
      </c>
      <c r="B132" s="8">
        <v>1702.6</v>
      </c>
      <c r="C132" s="8">
        <v>1702.5759454366357</v>
      </c>
    </row>
    <row r="133" spans="1:3" x14ac:dyDescent="0.25">
      <c r="A133" s="9">
        <v>196750</v>
      </c>
      <c r="B133" s="8">
        <v>1703.9</v>
      </c>
      <c r="C133" s="8">
        <v>1703.8675845236587</v>
      </c>
    </row>
    <row r="134" spans="1:3" x14ac:dyDescent="0.25">
      <c r="A134" s="9">
        <v>197000</v>
      </c>
      <c r="B134" s="8">
        <v>1703.9</v>
      </c>
      <c r="C134" s="8">
        <v>1703.9266595553468</v>
      </c>
    </row>
    <row r="135" spans="1:3" x14ac:dyDescent="0.25">
      <c r="A135" s="9">
        <v>197250</v>
      </c>
      <c r="B135" s="8">
        <v>1705.2</v>
      </c>
      <c r="C135" s="8">
        <v>1705.2209071201844</v>
      </c>
    </row>
    <row r="136" spans="1:3" x14ac:dyDescent="0.25">
      <c r="A136" s="9">
        <v>197500</v>
      </c>
      <c r="B136" s="8">
        <v>1706.5</v>
      </c>
      <c r="C136" s="8">
        <v>1706.5222095326239</v>
      </c>
    </row>
    <row r="137" spans="1:3" x14ac:dyDescent="0.25">
      <c r="A137" s="9">
        <v>197750</v>
      </c>
      <c r="B137" s="8">
        <v>1707.7</v>
      </c>
      <c r="C137" s="8">
        <v>1707.6784089828043</v>
      </c>
    </row>
    <row r="138" spans="1:3" x14ac:dyDescent="0.25">
      <c r="A138" s="9">
        <v>198000</v>
      </c>
      <c r="B138" s="8">
        <v>1709</v>
      </c>
      <c r="C138" s="8">
        <v>1709.0079059815512</v>
      </c>
    </row>
    <row r="139" spans="1:3" x14ac:dyDescent="0.25">
      <c r="A139" s="9">
        <v>198250</v>
      </c>
      <c r="B139" s="8">
        <v>1709</v>
      </c>
      <c r="C139" s="8">
        <v>1708.9955192663708</v>
      </c>
    </row>
    <row r="140" spans="1:3" x14ac:dyDescent="0.25">
      <c r="A140" s="9">
        <v>198500</v>
      </c>
      <c r="B140" s="8">
        <v>1710.3</v>
      </c>
      <c r="C140" s="8">
        <v>1710.3004153690679</v>
      </c>
    </row>
    <row r="141" spans="1:3" x14ac:dyDescent="0.25">
      <c r="A141" s="9">
        <v>198750</v>
      </c>
      <c r="B141" s="8">
        <v>1711.6</v>
      </c>
      <c r="C141" s="8">
        <v>1711.5987333902651</v>
      </c>
    </row>
    <row r="142" spans="1:3" x14ac:dyDescent="0.25">
      <c r="A142" s="9">
        <v>199000</v>
      </c>
      <c r="B142" s="8">
        <v>1712.9</v>
      </c>
      <c r="C142" s="8">
        <v>1712.9042186197612</v>
      </c>
    </row>
    <row r="143" spans="1:3" x14ac:dyDescent="0.25">
      <c r="A143" s="9">
        <v>199250</v>
      </c>
      <c r="B143" s="8">
        <v>1714.2</v>
      </c>
      <c r="C143" s="8">
        <v>1714.1759410544855</v>
      </c>
    </row>
    <row r="144" spans="1:3" x14ac:dyDescent="0.25">
      <c r="A144" s="9">
        <v>199500</v>
      </c>
      <c r="B144" s="8">
        <v>1715.5</v>
      </c>
      <c r="C144" s="8">
        <v>1715.5230532118833</v>
      </c>
    </row>
    <row r="145" spans="1:3" x14ac:dyDescent="0.25">
      <c r="A145" s="9">
        <v>199750</v>
      </c>
      <c r="B145" s="8">
        <v>1716.8</v>
      </c>
      <c r="C145" s="8">
        <v>1716.7820986941194</v>
      </c>
    </row>
    <row r="146" spans="1:3" x14ac:dyDescent="0.25">
      <c r="A146" s="9">
        <v>200000</v>
      </c>
      <c r="B146" s="8">
        <v>1718.1</v>
      </c>
      <c r="C146" s="8">
        <v>1718.1163582805295</v>
      </c>
    </row>
    <row r="147" spans="1:3" x14ac:dyDescent="0.25">
      <c r="A147" s="9">
        <v>200250</v>
      </c>
      <c r="B147" s="8">
        <v>1719.4</v>
      </c>
      <c r="C147" s="8">
        <v>1719.4171604621386</v>
      </c>
    </row>
    <row r="148" spans="1:3" x14ac:dyDescent="0.25">
      <c r="A148" s="9">
        <v>200500</v>
      </c>
      <c r="B148" s="8">
        <v>1720.7</v>
      </c>
      <c r="C148" s="8">
        <v>1720.7117547801033</v>
      </c>
    </row>
    <row r="149" spans="1:3" x14ac:dyDescent="0.25">
      <c r="A149" s="9">
        <v>200750</v>
      </c>
      <c r="B149" s="8">
        <v>1722</v>
      </c>
      <c r="C149" s="8">
        <v>1722.0271726325018</v>
      </c>
    </row>
    <row r="150" spans="1:3" x14ac:dyDescent="0.25">
      <c r="A150" s="9">
        <v>201000</v>
      </c>
      <c r="B150" s="8">
        <v>1723.3</v>
      </c>
      <c r="C150" s="8">
        <v>1723.3095257896045</v>
      </c>
    </row>
    <row r="151" spans="1:3" x14ac:dyDescent="0.25">
      <c r="A151" s="9">
        <v>201250</v>
      </c>
      <c r="B151" s="8">
        <v>1724.5</v>
      </c>
      <c r="C151" s="8">
        <v>1724.4785309522433</v>
      </c>
    </row>
    <row r="152" spans="1:3" x14ac:dyDescent="0.25">
      <c r="A152" s="9">
        <v>201500</v>
      </c>
      <c r="B152" s="8">
        <v>1725.8</v>
      </c>
      <c r="C152" s="8">
        <v>1725.7760134619139</v>
      </c>
    </row>
    <row r="153" spans="1:3" x14ac:dyDescent="0.25">
      <c r="A153" s="9">
        <v>201750</v>
      </c>
      <c r="B153" s="8">
        <v>1725.8</v>
      </c>
      <c r="C153" s="8">
        <v>1725.7722552273608</v>
      </c>
    </row>
    <row r="154" spans="1:3" x14ac:dyDescent="0.25">
      <c r="A154" s="9">
        <v>202000</v>
      </c>
      <c r="B154" s="8">
        <v>1728.4</v>
      </c>
      <c r="C154" s="8">
        <v>1728.3932689542187</v>
      </c>
    </row>
    <row r="155" spans="1:3" x14ac:dyDescent="0.25">
      <c r="A155" s="9">
        <v>202250</v>
      </c>
      <c r="B155" s="8">
        <v>1728.4</v>
      </c>
      <c r="C155" s="8">
        <v>1728.3830615802251</v>
      </c>
    </row>
    <row r="156" spans="1:3" x14ac:dyDescent="0.25">
      <c r="A156" s="9">
        <v>202500</v>
      </c>
      <c r="B156" s="8">
        <v>1731</v>
      </c>
      <c r="C156" s="8">
        <v>1730.973790119042</v>
      </c>
    </row>
    <row r="157" spans="1:3" x14ac:dyDescent="0.25">
      <c r="A157" s="9">
        <v>202750</v>
      </c>
      <c r="B157" s="8">
        <v>1731</v>
      </c>
      <c r="C157" s="8">
        <v>1731.0236945727345</v>
      </c>
    </row>
    <row r="158" spans="1:3" x14ac:dyDescent="0.25">
      <c r="A158" s="9">
        <v>203000</v>
      </c>
      <c r="B158" s="8">
        <v>1733.6</v>
      </c>
      <c r="C158" s="8">
        <v>1733.6109602546574</v>
      </c>
    </row>
    <row r="159" spans="1:3" x14ac:dyDescent="0.25">
      <c r="A159" s="9">
        <v>203250</v>
      </c>
      <c r="B159" s="8">
        <v>1733.6</v>
      </c>
      <c r="C159" s="8">
        <v>1733.5886794613302</v>
      </c>
    </row>
    <row r="160" spans="1:3" x14ac:dyDescent="0.25">
      <c r="A160" s="9">
        <v>203500</v>
      </c>
      <c r="B160" s="8">
        <v>1736.2</v>
      </c>
      <c r="C160" s="8">
        <v>1736.1858352571167</v>
      </c>
    </row>
    <row r="161" spans="1:3" x14ac:dyDescent="0.25">
      <c r="A161" s="9">
        <v>203750</v>
      </c>
      <c r="B161" s="8">
        <v>1736.2</v>
      </c>
      <c r="C161" s="8">
        <v>1736.1974055327237</v>
      </c>
    </row>
    <row r="162" spans="1:3" x14ac:dyDescent="0.25">
      <c r="A162" s="9">
        <v>204000</v>
      </c>
      <c r="B162" s="8">
        <v>1737.5</v>
      </c>
      <c r="C162" s="8">
        <v>1737.4935502205287</v>
      </c>
    </row>
    <row r="163" spans="1:3" x14ac:dyDescent="0.25">
      <c r="A163" s="9">
        <v>204250</v>
      </c>
      <c r="B163" s="8">
        <v>1738.8</v>
      </c>
      <c r="C163" s="8">
        <v>1738.7843183324014</v>
      </c>
    </row>
    <row r="164" spans="1:3" x14ac:dyDescent="0.25">
      <c r="A164" s="9">
        <v>204500</v>
      </c>
      <c r="B164" s="8">
        <v>1740</v>
      </c>
      <c r="C164" s="8">
        <v>1740.0045748756454</v>
      </c>
    </row>
    <row r="165" spans="1:3" x14ac:dyDescent="0.25">
      <c r="A165" s="9">
        <v>204750</v>
      </c>
      <c r="B165" s="8">
        <v>1741.3</v>
      </c>
      <c r="C165" s="8">
        <v>1741.28495804871</v>
      </c>
    </row>
    <row r="166" spans="1:3" x14ac:dyDescent="0.25">
      <c r="A166" s="9">
        <v>205000</v>
      </c>
      <c r="B166" s="8">
        <v>1742.6</v>
      </c>
      <c r="C166" s="8">
        <v>1742.5991576792755</v>
      </c>
    </row>
    <row r="167" spans="1:3" x14ac:dyDescent="0.25">
      <c r="A167" s="9">
        <v>205250</v>
      </c>
      <c r="B167" s="8">
        <v>1743.9</v>
      </c>
      <c r="C167" s="8">
        <v>1743.9081259763332</v>
      </c>
    </row>
    <row r="168" spans="1:3" x14ac:dyDescent="0.25">
      <c r="A168" s="9">
        <v>205500</v>
      </c>
      <c r="B168" s="8">
        <v>1743.9</v>
      </c>
      <c r="C168" s="8">
        <v>1743.8939057807165</v>
      </c>
    </row>
    <row r="169" spans="1:3" x14ac:dyDescent="0.25">
      <c r="A169" s="9">
        <v>205750</v>
      </c>
      <c r="B169" s="8">
        <v>1746.5</v>
      </c>
      <c r="C169" s="8">
        <v>1746.510675608039</v>
      </c>
    </row>
    <row r="170" spans="1:3" x14ac:dyDescent="0.25">
      <c r="A170" s="9">
        <v>206000</v>
      </c>
      <c r="B170" s="8">
        <v>1746.5</v>
      </c>
      <c r="C170" s="8">
        <v>1746.543331262445</v>
      </c>
    </row>
    <row r="171" spans="1:3" x14ac:dyDescent="0.25">
      <c r="A171" s="9">
        <v>206250</v>
      </c>
      <c r="B171" s="8">
        <v>1747.8</v>
      </c>
      <c r="C171" s="8">
        <v>1747.8091511074258</v>
      </c>
    </row>
    <row r="172" spans="1:3" x14ac:dyDescent="0.25">
      <c r="A172" s="9">
        <v>206500</v>
      </c>
      <c r="B172" s="8">
        <v>1749.1</v>
      </c>
      <c r="C172" s="8">
        <v>1749.0958462819026</v>
      </c>
    </row>
    <row r="173" spans="1:3" x14ac:dyDescent="0.25">
      <c r="A173" s="9">
        <v>206750</v>
      </c>
      <c r="B173" s="8">
        <v>1750.4</v>
      </c>
      <c r="C173" s="8">
        <v>1750.3905553560091</v>
      </c>
    </row>
    <row r="174" spans="1:3" x14ac:dyDescent="0.25">
      <c r="A174" s="9">
        <v>207000</v>
      </c>
      <c r="B174" s="8">
        <v>1751.7</v>
      </c>
      <c r="C174" s="8">
        <v>1751.7060224706197</v>
      </c>
    </row>
    <row r="175" spans="1:3" x14ac:dyDescent="0.25">
      <c r="A175" s="9">
        <v>207250</v>
      </c>
      <c r="B175" s="8">
        <v>1751.7</v>
      </c>
      <c r="C175" s="8">
        <v>1751.6948741597012</v>
      </c>
    </row>
    <row r="176" spans="1:3" x14ac:dyDescent="0.25">
      <c r="A176" s="9">
        <v>207500</v>
      </c>
      <c r="B176" s="8">
        <v>1754.3</v>
      </c>
      <c r="C176" s="8">
        <v>1754.2846435572353</v>
      </c>
    </row>
    <row r="177" spans="1:3" x14ac:dyDescent="0.25">
      <c r="A177" s="9">
        <v>207750</v>
      </c>
      <c r="B177" s="8">
        <v>1754.3</v>
      </c>
      <c r="C177" s="8">
        <v>1754.2952191319177</v>
      </c>
    </row>
    <row r="178" spans="1:3" x14ac:dyDescent="0.25">
      <c r="A178" s="9">
        <v>208000</v>
      </c>
      <c r="B178" s="8">
        <v>1756.8</v>
      </c>
      <c r="C178" s="8">
        <v>1756.7819375111758</v>
      </c>
    </row>
    <row r="179" spans="1:3" x14ac:dyDescent="0.25">
      <c r="A179" s="9">
        <v>208250</v>
      </c>
      <c r="B179" s="8">
        <v>1756.8</v>
      </c>
      <c r="C179" s="8">
        <v>1756.8146040016154</v>
      </c>
    </row>
    <row r="180" spans="1:3" x14ac:dyDescent="0.25">
      <c r="A180" s="9">
        <v>208500</v>
      </c>
      <c r="B180" s="8">
        <v>1758.1</v>
      </c>
      <c r="C180" s="8">
        <v>1758.093066011199</v>
      </c>
    </row>
    <row r="181" spans="1:3" x14ac:dyDescent="0.25">
      <c r="A181" s="9">
        <v>208750</v>
      </c>
      <c r="B181" s="8">
        <v>1759.4</v>
      </c>
      <c r="C181" s="8">
        <v>1759.4174263278453</v>
      </c>
    </row>
    <row r="182" spans="1:3" x14ac:dyDescent="0.25">
      <c r="A182" s="9">
        <v>209000</v>
      </c>
      <c r="B182" s="8">
        <v>1760.7</v>
      </c>
      <c r="C182" s="8">
        <v>1760.6873719661758</v>
      </c>
    </row>
    <row r="183" spans="1:3" x14ac:dyDescent="0.25">
      <c r="A183" s="9">
        <v>209250</v>
      </c>
      <c r="B183" s="8">
        <v>1762</v>
      </c>
      <c r="C183" s="8">
        <v>1761.978192716542</v>
      </c>
    </row>
    <row r="184" spans="1:3" x14ac:dyDescent="0.25">
      <c r="A184" s="9">
        <v>209500</v>
      </c>
      <c r="B184" s="8">
        <v>1763.3</v>
      </c>
      <c r="C184" s="8">
        <v>1763.2898038138967</v>
      </c>
    </row>
    <row r="185" spans="1:3" x14ac:dyDescent="0.25">
      <c r="A185" s="9">
        <v>209750</v>
      </c>
      <c r="B185" s="8">
        <v>1764.6</v>
      </c>
      <c r="C185" s="8">
        <v>1764.5972669777191</v>
      </c>
    </row>
    <row r="186" spans="1:3" x14ac:dyDescent="0.25">
      <c r="A186" s="9">
        <v>210000</v>
      </c>
      <c r="B186" s="8">
        <v>1764.6</v>
      </c>
      <c r="C186" s="8">
        <v>1764.6121359744352</v>
      </c>
    </row>
    <row r="187" spans="1:3" x14ac:dyDescent="0.25">
      <c r="A187" s="9">
        <v>210250</v>
      </c>
      <c r="B187" s="8">
        <v>1767.2</v>
      </c>
      <c r="C187" s="8">
        <v>1767.2371822154762</v>
      </c>
    </row>
    <row r="188" spans="1:3" x14ac:dyDescent="0.25">
      <c r="A188" s="9">
        <v>210500</v>
      </c>
      <c r="B188" s="8">
        <v>1768.5</v>
      </c>
      <c r="C188" s="8">
        <v>1768.4831998511695</v>
      </c>
    </row>
    <row r="189" spans="1:3" x14ac:dyDescent="0.25">
      <c r="A189" s="9">
        <v>210750</v>
      </c>
      <c r="B189" s="8">
        <v>1768.5</v>
      </c>
      <c r="C189" s="8">
        <v>1768.4947895588566</v>
      </c>
    </row>
    <row r="190" spans="1:3" x14ac:dyDescent="0.25">
      <c r="A190" s="9">
        <v>211000</v>
      </c>
      <c r="B190" s="8">
        <v>1769.8</v>
      </c>
      <c r="C190" s="8">
        <v>1769.7977978586314</v>
      </c>
    </row>
    <row r="191" spans="1:3" x14ac:dyDescent="0.25">
      <c r="A191" s="9">
        <v>211250</v>
      </c>
      <c r="B191" s="8">
        <v>1771.1</v>
      </c>
      <c r="C191" s="8">
        <v>1771.0848353158542</v>
      </c>
    </row>
    <row r="192" spans="1:3" x14ac:dyDescent="0.25">
      <c r="A192" s="9">
        <v>211500</v>
      </c>
      <c r="B192" s="8">
        <v>1772.4</v>
      </c>
      <c r="C192" s="8">
        <v>1772.4049288629631</v>
      </c>
    </row>
    <row r="193" spans="1:3" x14ac:dyDescent="0.25">
      <c r="A193" s="9">
        <v>211750</v>
      </c>
      <c r="B193" s="8">
        <v>1773.6</v>
      </c>
      <c r="C193" s="8">
        <v>1773.6238268209547</v>
      </c>
    </row>
    <row r="194" spans="1:3" x14ac:dyDescent="0.25">
      <c r="A194" s="9">
        <v>212000</v>
      </c>
      <c r="B194" s="8">
        <v>1774.9</v>
      </c>
      <c r="C194" s="8">
        <v>1774.9003710248148</v>
      </c>
    </row>
    <row r="195" spans="1:3" x14ac:dyDescent="0.25">
      <c r="A195" s="9">
        <v>212250</v>
      </c>
      <c r="B195" s="8">
        <v>1776.2</v>
      </c>
      <c r="C195" s="8">
        <v>1776.1856912687845</v>
      </c>
    </row>
    <row r="196" spans="1:3" x14ac:dyDescent="0.25">
      <c r="A196" s="9">
        <v>212500</v>
      </c>
      <c r="B196" s="8">
        <v>1777.5</v>
      </c>
      <c r="C196" s="8">
        <v>1777.5282162313633</v>
      </c>
    </row>
    <row r="197" spans="1:3" x14ac:dyDescent="0.25">
      <c r="A197" s="9">
        <v>212750</v>
      </c>
      <c r="B197" s="8">
        <v>1778.8</v>
      </c>
      <c r="C197" s="8">
        <v>1778.7947302360956</v>
      </c>
    </row>
    <row r="198" spans="1:3" x14ac:dyDescent="0.25">
      <c r="A198" s="9">
        <v>213000</v>
      </c>
      <c r="B198" s="8">
        <v>1780.1</v>
      </c>
      <c r="C198" s="8">
        <v>1780.0942834814571</v>
      </c>
    </row>
    <row r="199" spans="1:3" x14ac:dyDescent="0.25">
      <c r="A199" s="9">
        <v>213250</v>
      </c>
      <c r="B199" s="8">
        <v>1781.4</v>
      </c>
      <c r="C199" s="8">
        <v>1781.3906310637005</v>
      </c>
    </row>
    <row r="200" spans="1:3" x14ac:dyDescent="0.25">
      <c r="A200" s="9">
        <v>213500</v>
      </c>
      <c r="B200" s="8">
        <v>1782.7</v>
      </c>
      <c r="C200" s="8">
        <v>1782.6838520476597</v>
      </c>
    </row>
    <row r="201" spans="1:3" x14ac:dyDescent="0.25">
      <c r="A201" s="9">
        <v>213750</v>
      </c>
      <c r="B201" s="8">
        <v>1784</v>
      </c>
      <c r="C201" s="8">
        <v>1784.0338912513919</v>
      </c>
    </row>
    <row r="202" spans="1:3" x14ac:dyDescent="0.25">
      <c r="A202" s="9">
        <v>214000</v>
      </c>
      <c r="B202" s="8">
        <v>1785.3</v>
      </c>
      <c r="C202" s="8">
        <v>1785.2970684897052</v>
      </c>
    </row>
    <row r="203" spans="1:3" x14ac:dyDescent="0.25">
      <c r="A203" s="9">
        <v>214250</v>
      </c>
      <c r="B203" s="8">
        <v>1786.6</v>
      </c>
      <c r="C203" s="8">
        <v>1786.5813039121456</v>
      </c>
    </row>
    <row r="204" spans="1:3" x14ac:dyDescent="0.25">
      <c r="A204" s="9">
        <v>214500</v>
      </c>
      <c r="B204" s="8">
        <v>1786.6</v>
      </c>
      <c r="C204" s="8">
        <v>1786.6033204324131</v>
      </c>
    </row>
    <row r="205" spans="1:3" x14ac:dyDescent="0.25">
      <c r="A205" s="9">
        <v>214750</v>
      </c>
      <c r="B205" s="8">
        <v>1787.9</v>
      </c>
      <c r="C205" s="8">
        <v>1787.920442937871</v>
      </c>
    </row>
    <row r="206" spans="1:3" x14ac:dyDescent="0.25">
      <c r="A206" s="9">
        <v>215000</v>
      </c>
      <c r="B206" s="8">
        <v>1789.2</v>
      </c>
      <c r="C206" s="8">
        <v>1789.1993079536028</v>
      </c>
    </row>
    <row r="207" spans="1:3" x14ac:dyDescent="0.25">
      <c r="A207" s="9">
        <v>215250</v>
      </c>
      <c r="B207" s="8">
        <v>1790.4</v>
      </c>
      <c r="C207" s="8">
        <v>1790.4048750046918</v>
      </c>
    </row>
    <row r="208" spans="1:3" x14ac:dyDescent="0.25">
      <c r="A208" s="9">
        <v>215500</v>
      </c>
      <c r="B208" s="8">
        <v>1791.7</v>
      </c>
      <c r="C208" s="8">
        <v>1791.7141411107987</v>
      </c>
    </row>
    <row r="209" spans="1:3" x14ac:dyDescent="0.25">
      <c r="A209" s="9">
        <v>215750</v>
      </c>
      <c r="B209" s="8">
        <v>1793</v>
      </c>
      <c r="C209" s="8">
        <v>1793.0091066180144</v>
      </c>
    </row>
    <row r="210" spans="1:3" x14ac:dyDescent="0.25">
      <c r="A210" s="9">
        <v>216000</v>
      </c>
      <c r="B210" s="8">
        <v>1794.3</v>
      </c>
      <c r="C210" s="8">
        <v>1794.2782257852305</v>
      </c>
    </row>
    <row r="211" spans="1:3" x14ac:dyDescent="0.25">
      <c r="A211" s="9">
        <v>216250</v>
      </c>
      <c r="B211" s="8">
        <v>1796.9</v>
      </c>
      <c r="C211" s="8">
        <v>1796.912894329151</v>
      </c>
    </row>
    <row r="212" spans="1:3" x14ac:dyDescent="0.25">
      <c r="A212" s="9">
        <v>216500</v>
      </c>
      <c r="B212" s="8">
        <v>1798.2</v>
      </c>
      <c r="C212" s="8">
        <v>1798.2210731060788</v>
      </c>
    </row>
    <row r="213" spans="1:3" x14ac:dyDescent="0.25">
      <c r="A213" s="9">
        <v>216750</v>
      </c>
      <c r="B213" s="8">
        <v>1799.5</v>
      </c>
      <c r="C213" s="8">
        <v>1799.4920054748113</v>
      </c>
    </row>
    <row r="214" spans="1:3" x14ac:dyDescent="0.25">
      <c r="A214" s="9">
        <v>217000</v>
      </c>
      <c r="B214" s="8">
        <v>1800.8</v>
      </c>
      <c r="C214" s="8">
        <v>1800.7957372904007</v>
      </c>
    </row>
    <row r="215" spans="1:3" x14ac:dyDescent="0.25">
      <c r="A215" s="9">
        <v>217250</v>
      </c>
      <c r="B215" s="8">
        <v>1802.1</v>
      </c>
      <c r="C215" s="8">
        <v>1802.1205126602686</v>
      </c>
    </row>
    <row r="216" spans="1:3" x14ac:dyDescent="0.25">
      <c r="A216" s="9">
        <v>217500</v>
      </c>
      <c r="B216" s="8">
        <v>1804.7</v>
      </c>
      <c r="C216" s="8">
        <v>1804.7049698919968</v>
      </c>
    </row>
    <row r="217" spans="1:3" x14ac:dyDescent="0.25">
      <c r="A217" s="9">
        <v>217750</v>
      </c>
      <c r="B217" s="8">
        <v>1806</v>
      </c>
      <c r="C217" s="8">
        <v>1806.0109998955111</v>
      </c>
    </row>
    <row r="218" spans="1:3" x14ac:dyDescent="0.25">
      <c r="A218" s="9">
        <v>218000</v>
      </c>
      <c r="B218" s="8">
        <v>1807.2</v>
      </c>
      <c r="C218" s="8">
        <v>1807.1882250118015</v>
      </c>
    </row>
    <row r="219" spans="1:3" x14ac:dyDescent="0.25">
      <c r="A219" s="9">
        <v>218250</v>
      </c>
      <c r="B219" s="8">
        <v>1809.8</v>
      </c>
      <c r="C219" s="8">
        <v>1809.8032809578419</v>
      </c>
    </row>
    <row r="220" spans="1:3" x14ac:dyDescent="0.25">
      <c r="A220" s="9">
        <v>218500</v>
      </c>
      <c r="B220" s="8">
        <v>1811.1</v>
      </c>
      <c r="C220" s="8">
        <v>1811.0778777864637</v>
      </c>
    </row>
    <row r="221" spans="1:3" x14ac:dyDescent="0.25">
      <c r="A221" s="9">
        <v>218750</v>
      </c>
      <c r="B221" s="8">
        <v>1812.4</v>
      </c>
      <c r="C221" s="8">
        <v>1812.4082126017015</v>
      </c>
    </row>
    <row r="222" spans="1:3" x14ac:dyDescent="0.25">
      <c r="A222" s="9">
        <v>219000</v>
      </c>
      <c r="B222" s="8">
        <v>1815</v>
      </c>
      <c r="C222" s="8">
        <v>1814.9850901410878</v>
      </c>
    </row>
    <row r="223" spans="1:3" x14ac:dyDescent="0.25">
      <c r="A223" s="9">
        <v>219250</v>
      </c>
      <c r="B223" s="8">
        <v>1816.3</v>
      </c>
      <c r="C223" s="8">
        <v>1816.2861020495357</v>
      </c>
    </row>
    <row r="224" spans="1:3" x14ac:dyDescent="0.25">
      <c r="A224" s="9">
        <v>219500</v>
      </c>
      <c r="B224" s="8">
        <v>1817.6</v>
      </c>
      <c r="C224" s="8">
        <v>1817.6083991406636</v>
      </c>
    </row>
    <row r="225" spans="1:3" x14ac:dyDescent="0.25">
      <c r="A225" s="9">
        <v>219750</v>
      </c>
      <c r="B225" s="8">
        <v>1820.2</v>
      </c>
      <c r="C225" s="8">
        <v>1820.2163460852282</v>
      </c>
    </row>
    <row r="226" spans="1:3" x14ac:dyDescent="0.25">
      <c r="A226" s="9">
        <v>220000</v>
      </c>
      <c r="B226" s="8">
        <v>1821.5</v>
      </c>
      <c r="C226" s="8">
        <v>1821.5097943579253</v>
      </c>
    </row>
    <row r="227" spans="1:3" x14ac:dyDescent="0.25">
      <c r="A227" s="9">
        <v>220250</v>
      </c>
      <c r="B227" s="8">
        <v>1822.8</v>
      </c>
      <c r="C227" s="8">
        <v>1822.7679180685695</v>
      </c>
    </row>
    <row r="228" spans="1:3" x14ac:dyDescent="0.25">
      <c r="A228" s="9">
        <v>220500</v>
      </c>
      <c r="B228" s="8">
        <v>1825.3</v>
      </c>
      <c r="C228" s="8">
        <v>1825.2936733412887</v>
      </c>
    </row>
    <row r="229" spans="1:3" x14ac:dyDescent="0.25">
      <c r="A229" s="9">
        <v>220750</v>
      </c>
      <c r="B229" s="8">
        <v>1826.6</v>
      </c>
      <c r="C229" s="8">
        <v>1826.6258125435215</v>
      </c>
    </row>
    <row r="230" spans="1:3" x14ac:dyDescent="0.25">
      <c r="A230" s="9">
        <v>221000</v>
      </c>
      <c r="B230" s="8">
        <v>1829.2</v>
      </c>
      <c r="C230" s="8">
        <v>1829.1989052886388</v>
      </c>
    </row>
    <row r="231" spans="1:3" x14ac:dyDescent="0.25">
      <c r="A231" s="9">
        <v>221250</v>
      </c>
      <c r="B231" s="8">
        <v>1830.5</v>
      </c>
      <c r="C231" s="8">
        <v>1830.5143432219065</v>
      </c>
    </row>
    <row r="232" spans="1:3" x14ac:dyDescent="0.25">
      <c r="A232" s="9">
        <v>221500</v>
      </c>
      <c r="B232" s="8">
        <v>1831.8</v>
      </c>
      <c r="C232" s="8">
        <v>1831.8062438611687</v>
      </c>
    </row>
    <row r="233" spans="1:3" x14ac:dyDescent="0.25">
      <c r="A233" s="9">
        <v>221750</v>
      </c>
      <c r="B233" s="8">
        <v>1834.4</v>
      </c>
      <c r="C233" s="8">
        <v>1834.3999337856378</v>
      </c>
    </row>
    <row r="234" spans="1:3" x14ac:dyDescent="0.25">
      <c r="A234" s="9">
        <v>222000</v>
      </c>
      <c r="B234" s="8">
        <v>1835.7</v>
      </c>
      <c r="C234" s="8">
        <v>1835.709411019182</v>
      </c>
    </row>
    <row r="235" spans="1:3" x14ac:dyDescent="0.25">
      <c r="A235" s="9">
        <v>222250</v>
      </c>
      <c r="B235" s="8">
        <v>1837</v>
      </c>
      <c r="C235" s="8">
        <v>1836.9733584408607</v>
      </c>
    </row>
    <row r="236" spans="1:3" x14ac:dyDescent="0.25">
      <c r="A236" s="9">
        <v>222500</v>
      </c>
      <c r="B236" s="8">
        <v>1838.3</v>
      </c>
      <c r="C236" s="8">
        <v>1838.3260707761949</v>
      </c>
    </row>
    <row r="237" spans="1:3" x14ac:dyDescent="0.25">
      <c r="A237" s="9">
        <v>222750</v>
      </c>
      <c r="B237" s="8">
        <v>1840.8</v>
      </c>
      <c r="C237" s="8">
        <v>1840.8029256969644</v>
      </c>
    </row>
    <row r="238" spans="1:3" x14ac:dyDescent="0.25">
      <c r="A238" s="9">
        <v>223000</v>
      </c>
      <c r="B238" s="8">
        <v>1842.1</v>
      </c>
      <c r="C238" s="8">
        <v>1842.1068228959789</v>
      </c>
    </row>
    <row r="239" spans="1:3" x14ac:dyDescent="0.25">
      <c r="A239" s="9">
        <v>223250</v>
      </c>
      <c r="B239" s="8">
        <v>1843.4</v>
      </c>
      <c r="C239" s="8">
        <v>1843.421355823607</v>
      </c>
    </row>
    <row r="240" spans="1:3" x14ac:dyDescent="0.25">
      <c r="A240" s="9">
        <v>223500</v>
      </c>
      <c r="B240" s="8">
        <v>1846</v>
      </c>
      <c r="C240" s="8">
        <v>1846.0089335841128</v>
      </c>
    </row>
    <row r="241" spans="1:3" x14ac:dyDescent="0.25">
      <c r="A241" s="9">
        <v>223750</v>
      </c>
      <c r="B241" s="8">
        <v>1847.3</v>
      </c>
      <c r="C241" s="8">
        <v>1847.2863383496097</v>
      </c>
    </row>
    <row r="242" spans="1:3" x14ac:dyDescent="0.25">
      <c r="A242" s="9">
        <v>224000</v>
      </c>
      <c r="B242" s="8">
        <v>1848.6</v>
      </c>
      <c r="C242" s="8">
        <v>1848.6077628822252</v>
      </c>
    </row>
    <row r="243" spans="1:3" x14ac:dyDescent="0.25">
      <c r="A243" s="9">
        <v>224250</v>
      </c>
      <c r="B243" s="8">
        <v>1849.9</v>
      </c>
      <c r="C243" s="8">
        <v>1849.8959631499774</v>
      </c>
    </row>
    <row r="244" spans="1:3" x14ac:dyDescent="0.25">
      <c r="A244" s="9">
        <v>224500</v>
      </c>
      <c r="B244" s="8">
        <v>1852.5</v>
      </c>
      <c r="C244" s="8">
        <v>1852.4909074696554</v>
      </c>
    </row>
    <row r="245" spans="1:3" x14ac:dyDescent="0.25">
      <c r="A245" s="9">
        <v>224750</v>
      </c>
      <c r="B245" s="8">
        <v>1853.8</v>
      </c>
      <c r="C245" s="8">
        <v>1853.8087672813549</v>
      </c>
    </row>
    <row r="246" spans="1:3" x14ac:dyDescent="0.25">
      <c r="A246" s="9">
        <v>225000</v>
      </c>
      <c r="B246" s="8">
        <v>1855.1</v>
      </c>
      <c r="C246" s="8">
        <v>1855.0938540531934</v>
      </c>
    </row>
    <row r="247" spans="1:3" x14ac:dyDescent="0.25">
      <c r="A247" s="9">
        <v>225250</v>
      </c>
      <c r="B247" s="8">
        <v>1856.4</v>
      </c>
      <c r="C247" s="8">
        <v>1856.3792285485113</v>
      </c>
    </row>
    <row r="248" spans="1:3" x14ac:dyDescent="0.25">
      <c r="A248" s="9">
        <v>225500</v>
      </c>
      <c r="B248" s="8">
        <v>1858.9</v>
      </c>
      <c r="C248" s="8">
        <v>1858.8842960700415</v>
      </c>
    </row>
    <row r="249" spans="1:3" x14ac:dyDescent="0.25">
      <c r="A249" s="9">
        <v>225750</v>
      </c>
      <c r="B249" s="8">
        <v>1860.2</v>
      </c>
      <c r="C249" s="8">
        <v>1860.1999172962023</v>
      </c>
    </row>
    <row r="250" spans="1:3" x14ac:dyDescent="0.25">
      <c r="A250" s="9">
        <v>226000</v>
      </c>
      <c r="B250" s="8">
        <v>1861.5</v>
      </c>
      <c r="C250" s="8">
        <v>1861.5159180815169</v>
      </c>
    </row>
    <row r="251" spans="1:3" x14ac:dyDescent="0.25">
      <c r="A251" s="9">
        <v>226250</v>
      </c>
      <c r="B251" s="8">
        <v>1862.8</v>
      </c>
      <c r="C251" s="8">
        <v>1862.8107640039218</v>
      </c>
    </row>
    <row r="252" spans="1:3" x14ac:dyDescent="0.25">
      <c r="A252" s="9">
        <v>226500</v>
      </c>
      <c r="B252" s="8">
        <v>1864.1</v>
      </c>
      <c r="C252" s="8">
        <v>1864.1170630990985</v>
      </c>
    </row>
    <row r="253" spans="1:3" x14ac:dyDescent="0.25">
      <c r="A253" s="9">
        <v>226750</v>
      </c>
      <c r="B253" s="8">
        <v>1866.7</v>
      </c>
      <c r="C253" s="8">
        <v>1866.7050107305549</v>
      </c>
    </row>
    <row r="254" spans="1:3" x14ac:dyDescent="0.25">
      <c r="A254" s="9">
        <v>227000</v>
      </c>
      <c r="B254" s="8">
        <v>1868</v>
      </c>
      <c r="C254" s="8">
        <v>1868.0094225437585</v>
      </c>
    </row>
    <row r="255" spans="1:3" x14ac:dyDescent="0.25">
      <c r="A255" s="9">
        <v>227250</v>
      </c>
      <c r="B255" s="8">
        <v>1869.3</v>
      </c>
      <c r="C255" s="8">
        <v>1869.3039964553741</v>
      </c>
    </row>
    <row r="256" spans="1:3" x14ac:dyDescent="0.25">
      <c r="A256" s="9">
        <v>227500</v>
      </c>
      <c r="B256" s="8">
        <v>1870.6</v>
      </c>
      <c r="C256" s="8">
        <v>1870.6102846855563</v>
      </c>
    </row>
    <row r="257" spans="1:3" x14ac:dyDescent="0.25">
      <c r="A257" s="9">
        <v>227750</v>
      </c>
      <c r="B257" s="8">
        <v>1871.9</v>
      </c>
      <c r="C257" s="8">
        <v>1871.8856538179784</v>
      </c>
    </row>
    <row r="258" spans="1:3" x14ac:dyDescent="0.25">
      <c r="A258" s="9">
        <v>228000</v>
      </c>
      <c r="B258" s="8">
        <v>1873.2</v>
      </c>
      <c r="C258" s="8">
        <v>1873.1942369613264</v>
      </c>
    </row>
    <row r="259" spans="1:3" x14ac:dyDescent="0.25">
      <c r="A259" s="9">
        <v>228250</v>
      </c>
      <c r="B259" s="8">
        <v>1874.4</v>
      </c>
      <c r="C259" s="8">
        <v>1874.3980477477805</v>
      </c>
    </row>
    <row r="260" spans="1:3" x14ac:dyDescent="0.25">
      <c r="A260" s="9">
        <v>228500</v>
      </c>
      <c r="B260" s="8">
        <v>1875.7</v>
      </c>
      <c r="C260" s="8">
        <v>1875.6883461774169</v>
      </c>
    </row>
    <row r="261" spans="1:3" x14ac:dyDescent="0.25">
      <c r="A261" s="9">
        <v>228750</v>
      </c>
      <c r="B261" s="8">
        <v>1877</v>
      </c>
      <c r="C261" s="8">
        <v>1876.9801834290433</v>
      </c>
    </row>
    <row r="262" spans="1:3" x14ac:dyDescent="0.25">
      <c r="A262" s="9">
        <v>229000</v>
      </c>
      <c r="B262" s="8">
        <v>1878.3</v>
      </c>
      <c r="C262" s="8">
        <v>1878.2841652627303</v>
      </c>
    </row>
    <row r="263" spans="1:3" x14ac:dyDescent="0.25">
      <c r="A263" s="9">
        <v>229250</v>
      </c>
      <c r="B263" s="8">
        <v>1879.6</v>
      </c>
      <c r="C263" s="8">
        <v>1879.6002974872993</v>
      </c>
    </row>
    <row r="264" spans="1:3" x14ac:dyDescent="0.25">
      <c r="A264" s="9">
        <v>229500</v>
      </c>
      <c r="B264" s="8">
        <v>1880.9</v>
      </c>
      <c r="C264" s="8">
        <v>1880.8763045548787</v>
      </c>
    </row>
    <row r="265" spans="1:3" x14ac:dyDescent="0.25">
      <c r="A265" s="9">
        <v>229750</v>
      </c>
      <c r="B265" s="8">
        <v>1882.2</v>
      </c>
      <c r="C265" s="8">
        <v>1882.1856172644732</v>
      </c>
    </row>
    <row r="266" spans="1:3" x14ac:dyDescent="0.25">
      <c r="A266" s="9">
        <v>230000</v>
      </c>
      <c r="B266" s="8">
        <v>1883.5</v>
      </c>
      <c r="C266" s="8">
        <v>1883.507271935104</v>
      </c>
    </row>
    <row r="267" spans="1:3" x14ac:dyDescent="0.25">
      <c r="A267" s="9">
        <v>230250</v>
      </c>
      <c r="B267" s="8">
        <v>1886.1</v>
      </c>
      <c r="C267" s="8">
        <v>1886.0763723779683</v>
      </c>
    </row>
    <row r="268" spans="1:3" x14ac:dyDescent="0.25">
      <c r="A268" s="9">
        <v>230500</v>
      </c>
      <c r="B268" s="8">
        <v>1886.1</v>
      </c>
      <c r="C268" s="8">
        <v>1886.09456961767</v>
      </c>
    </row>
    <row r="269" spans="1:3" x14ac:dyDescent="0.25">
      <c r="A269" s="9">
        <v>230750</v>
      </c>
      <c r="B269" s="8">
        <v>1887.4</v>
      </c>
      <c r="C269" s="8">
        <v>1887.3916829306199</v>
      </c>
    </row>
    <row r="270" spans="1:3" x14ac:dyDescent="0.25">
      <c r="A270" s="9">
        <v>231000</v>
      </c>
      <c r="B270" s="8">
        <v>1888.7</v>
      </c>
      <c r="C270" s="8">
        <v>1888.7117955988408</v>
      </c>
    </row>
    <row r="271" spans="1:3" x14ac:dyDescent="0.25">
      <c r="A271" s="9">
        <v>231250</v>
      </c>
      <c r="B271" s="8">
        <v>1890</v>
      </c>
      <c r="C271" s="8">
        <v>1890.0035637823207</v>
      </c>
    </row>
    <row r="272" spans="1:3" x14ac:dyDescent="0.25">
      <c r="A272" s="9">
        <v>231500</v>
      </c>
      <c r="B272" s="8">
        <v>1891.2</v>
      </c>
      <c r="C272" s="8">
        <v>1891.2162347444264</v>
      </c>
    </row>
    <row r="273" spans="1:3" x14ac:dyDescent="0.25">
      <c r="A273" s="9">
        <v>231750</v>
      </c>
      <c r="B273" s="8">
        <v>1892.5</v>
      </c>
      <c r="C273" s="8">
        <v>1892.5035096582358</v>
      </c>
    </row>
    <row r="274" spans="1:3" x14ac:dyDescent="0.25">
      <c r="A274" s="9">
        <v>232000</v>
      </c>
      <c r="B274" s="8">
        <v>1893.8</v>
      </c>
      <c r="C274" s="8">
        <v>1893.8140458914831</v>
      </c>
    </row>
    <row r="275" spans="1:3" x14ac:dyDescent="0.25">
      <c r="A275" s="9">
        <v>232250</v>
      </c>
      <c r="B275" s="8">
        <v>1895.1</v>
      </c>
      <c r="C275" s="8">
        <v>1895.1072280808542</v>
      </c>
    </row>
    <row r="276" spans="1:3" x14ac:dyDescent="0.25">
      <c r="A276" s="9">
        <v>232500</v>
      </c>
      <c r="B276" s="8">
        <v>1896.4</v>
      </c>
      <c r="C276" s="8">
        <v>1896.4035384488275</v>
      </c>
    </row>
    <row r="277" spans="1:3" x14ac:dyDescent="0.25">
      <c r="A277" s="9">
        <v>232750</v>
      </c>
      <c r="B277" s="8">
        <v>1897.7</v>
      </c>
      <c r="C277" s="8">
        <v>1897.7232237428816</v>
      </c>
    </row>
    <row r="278" spans="1:3" x14ac:dyDescent="0.25">
      <c r="A278" s="9">
        <v>233000</v>
      </c>
      <c r="B278" s="8">
        <v>1899</v>
      </c>
      <c r="C278" s="8">
        <v>1898.9958878896923</v>
      </c>
    </row>
    <row r="279" spans="1:3" x14ac:dyDescent="0.25">
      <c r="A279" s="9">
        <v>233250</v>
      </c>
      <c r="B279" s="8">
        <v>1900.3</v>
      </c>
      <c r="C279" s="8">
        <v>1900.2921818536693</v>
      </c>
    </row>
    <row r="280" spans="1:3" x14ac:dyDescent="0.25">
      <c r="A280" s="9">
        <v>233500</v>
      </c>
      <c r="B280" s="8">
        <v>1901.6</v>
      </c>
      <c r="C280" s="8">
        <v>1901.6020400301259</v>
      </c>
    </row>
    <row r="281" spans="1:3" x14ac:dyDescent="0.25">
      <c r="A281" s="9">
        <v>233750</v>
      </c>
      <c r="B281" s="8">
        <v>1902.9</v>
      </c>
      <c r="C281" s="8">
        <v>1902.8956046885833</v>
      </c>
    </row>
    <row r="282" spans="1:3" x14ac:dyDescent="0.25">
      <c r="A282" s="9">
        <v>234000</v>
      </c>
      <c r="B282" s="8">
        <v>1904.2</v>
      </c>
      <c r="C282" s="8">
        <v>1904.1930057841264</v>
      </c>
    </row>
    <row r="283" spans="1:3" x14ac:dyDescent="0.25">
      <c r="A283" s="9">
        <v>234250</v>
      </c>
      <c r="B283" s="8">
        <v>1905.5</v>
      </c>
      <c r="C283" s="8">
        <v>1905.5141352113728</v>
      </c>
    </row>
    <row r="284" spans="1:3" x14ac:dyDescent="0.25">
      <c r="A284" s="9">
        <v>234500</v>
      </c>
      <c r="B284" s="8">
        <v>1908</v>
      </c>
      <c r="C284" s="8">
        <v>1908.0044181027044</v>
      </c>
    </row>
    <row r="285" spans="1:3" x14ac:dyDescent="0.25">
      <c r="A285" s="9">
        <v>234750</v>
      </c>
      <c r="B285" s="8">
        <v>1909.3</v>
      </c>
      <c r="C285" s="8">
        <v>1909.3102762568601</v>
      </c>
    </row>
    <row r="286" spans="1:3" x14ac:dyDescent="0.25">
      <c r="A286" s="9">
        <v>235000</v>
      </c>
      <c r="B286" s="8">
        <v>1910.6</v>
      </c>
      <c r="C286" s="8">
        <v>1910.6105488939684</v>
      </c>
    </row>
    <row r="287" spans="1:3" x14ac:dyDescent="0.25">
      <c r="A287" s="9">
        <v>235250</v>
      </c>
      <c r="B287" s="8">
        <v>1911.9</v>
      </c>
      <c r="C287" s="8">
        <v>1911.905427961352</v>
      </c>
    </row>
    <row r="288" spans="1:3" x14ac:dyDescent="0.25">
      <c r="A288" s="9">
        <v>235500</v>
      </c>
      <c r="B288" s="8">
        <v>1914.5</v>
      </c>
      <c r="C288" s="8">
        <v>1914.4751648223112</v>
      </c>
    </row>
    <row r="289" spans="1:3" x14ac:dyDescent="0.25">
      <c r="A289" s="9">
        <v>235750</v>
      </c>
      <c r="B289" s="8">
        <v>1915.8</v>
      </c>
      <c r="C289" s="8">
        <v>1915.8045812984419</v>
      </c>
    </row>
    <row r="290" spans="1:3" x14ac:dyDescent="0.25">
      <c r="A290" s="9">
        <v>236000</v>
      </c>
      <c r="B290" s="8">
        <v>1918.4</v>
      </c>
      <c r="C290" s="8">
        <v>1918.4034209667398</v>
      </c>
    </row>
    <row r="291" spans="1:3" x14ac:dyDescent="0.25">
      <c r="A291" s="9">
        <v>236250</v>
      </c>
      <c r="B291" s="8">
        <v>1919.7</v>
      </c>
      <c r="C291" s="8">
        <v>1919.6896755339089</v>
      </c>
    </row>
    <row r="292" spans="1:3" x14ac:dyDescent="0.25">
      <c r="A292" s="9">
        <v>236500</v>
      </c>
      <c r="B292" s="8">
        <v>1922.3</v>
      </c>
      <c r="C292" s="8">
        <v>1922.308054431026</v>
      </c>
    </row>
    <row r="293" spans="1:3" x14ac:dyDescent="0.25">
      <c r="A293" s="9">
        <v>236750</v>
      </c>
      <c r="B293" s="8">
        <v>1924.8</v>
      </c>
      <c r="C293" s="8">
        <v>1924.7998821607691</v>
      </c>
    </row>
    <row r="294" spans="1:3" x14ac:dyDescent="0.25">
      <c r="A294" s="9">
        <v>237000</v>
      </c>
      <c r="B294" s="8">
        <v>1927.4</v>
      </c>
      <c r="C294" s="8">
        <v>1927.378465993783</v>
      </c>
    </row>
    <row r="295" spans="1:3" x14ac:dyDescent="0.25">
      <c r="A295" s="9">
        <v>237250</v>
      </c>
      <c r="B295" s="8">
        <v>1932.6</v>
      </c>
      <c r="C295" s="8">
        <v>1932.5783501097708</v>
      </c>
    </row>
    <row r="296" spans="1:3" x14ac:dyDescent="0.25">
      <c r="A296" s="9">
        <v>237500</v>
      </c>
      <c r="B296" s="8">
        <v>1936.5</v>
      </c>
      <c r="C296" s="8">
        <v>1936.4993697240479</v>
      </c>
    </row>
    <row r="297" spans="1:3" x14ac:dyDescent="0.25">
      <c r="A297" s="9">
        <v>237750</v>
      </c>
      <c r="B297" s="8">
        <v>1941.6</v>
      </c>
      <c r="C297" s="8">
        <v>1941.6039051706243</v>
      </c>
    </row>
    <row r="298" spans="1:3" x14ac:dyDescent="0.25">
      <c r="A298" s="9">
        <v>238000</v>
      </c>
      <c r="B298" s="8">
        <v>1946.8</v>
      </c>
      <c r="C298" s="8">
        <v>1946.8078648986011</v>
      </c>
    </row>
    <row r="299" spans="1:3" x14ac:dyDescent="0.25">
      <c r="A299" s="9">
        <v>238250</v>
      </c>
      <c r="B299" s="8">
        <v>1952</v>
      </c>
      <c r="C299" s="8">
        <v>1952.0044691100968</v>
      </c>
    </row>
    <row r="300" spans="1:3" x14ac:dyDescent="0.25">
      <c r="A300" s="9">
        <v>238500</v>
      </c>
      <c r="B300" s="8">
        <v>1954.6</v>
      </c>
      <c r="C300" s="8">
        <v>1954.6138046016029</v>
      </c>
    </row>
    <row r="301" spans="1:3" x14ac:dyDescent="0.25">
      <c r="A301" s="9">
        <v>238750</v>
      </c>
      <c r="B301" s="8">
        <v>1959.7</v>
      </c>
      <c r="C301" s="8">
        <v>1959.7111949355869</v>
      </c>
    </row>
    <row r="302" spans="1:3" x14ac:dyDescent="0.25">
      <c r="A302" s="9">
        <v>239000</v>
      </c>
      <c r="B302" s="8">
        <v>1964.9</v>
      </c>
      <c r="C302" s="8">
        <v>1964.9084079888248</v>
      </c>
    </row>
    <row r="303" spans="1:3" x14ac:dyDescent="0.25">
      <c r="A303" s="9">
        <v>239250</v>
      </c>
      <c r="B303" s="8">
        <v>1968.8</v>
      </c>
      <c r="C303" s="8">
        <v>1968.7931221429631</v>
      </c>
    </row>
    <row r="304" spans="1:3" x14ac:dyDescent="0.25">
      <c r="A304" s="9">
        <v>239500</v>
      </c>
      <c r="B304" s="8">
        <v>1973.9</v>
      </c>
      <c r="C304" s="8">
        <v>1973.9033783409934</v>
      </c>
    </row>
    <row r="305" spans="1:3" x14ac:dyDescent="0.25">
      <c r="A305" s="9">
        <v>239750</v>
      </c>
      <c r="B305" s="8">
        <v>1977.8</v>
      </c>
      <c r="C305" s="8">
        <v>1977.7957575970881</v>
      </c>
    </row>
    <row r="306" spans="1:3" x14ac:dyDescent="0.25">
      <c r="A306" s="9">
        <v>240000</v>
      </c>
      <c r="B306" s="8">
        <v>1983</v>
      </c>
      <c r="C306" s="8">
        <v>1982.9956509880944</v>
      </c>
    </row>
    <row r="307" spans="1:3" x14ac:dyDescent="0.25">
      <c r="A307" s="9">
        <v>240250</v>
      </c>
      <c r="B307" s="8">
        <v>1986.9</v>
      </c>
      <c r="C307" s="8">
        <v>1986.9056599148885</v>
      </c>
    </row>
    <row r="308" spans="1:3" x14ac:dyDescent="0.25">
      <c r="A308" s="9">
        <v>240500</v>
      </c>
      <c r="B308" s="8">
        <v>1992</v>
      </c>
      <c r="C308" s="8">
        <v>1992.0082071686902</v>
      </c>
    </row>
    <row r="309" spans="1:3" x14ac:dyDescent="0.25">
      <c r="A309" s="9">
        <v>240750</v>
      </c>
      <c r="B309" s="8">
        <v>1995.9</v>
      </c>
      <c r="C309" s="8">
        <v>1995.8865485387769</v>
      </c>
    </row>
    <row r="310" spans="1:3" x14ac:dyDescent="0.25">
      <c r="A310" s="9">
        <v>241000</v>
      </c>
      <c r="B310" s="8">
        <v>1999.8</v>
      </c>
      <c r="C310" s="8">
        <v>1999.7735359430637</v>
      </c>
    </row>
    <row r="311" spans="1:3" x14ac:dyDescent="0.25">
      <c r="A311" s="9">
        <v>241250</v>
      </c>
      <c r="B311" s="8">
        <v>2005</v>
      </c>
      <c r="C311" s="8">
        <v>2005.0147151162519</v>
      </c>
    </row>
    <row r="312" spans="1:3" x14ac:dyDescent="0.25">
      <c r="A312" s="9">
        <v>241500</v>
      </c>
      <c r="B312" s="8">
        <v>2008.8</v>
      </c>
      <c r="C312" s="8">
        <v>2008.81058151856</v>
      </c>
    </row>
    <row r="313" spans="1:3" x14ac:dyDescent="0.25">
      <c r="A313" s="9">
        <v>241750</v>
      </c>
      <c r="B313" s="8">
        <v>2014</v>
      </c>
      <c r="C313" s="8">
        <v>2013.9735963466132</v>
      </c>
    </row>
    <row r="314" spans="1:3" x14ac:dyDescent="0.25">
      <c r="A314" s="9">
        <v>242000</v>
      </c>
      <c r="B314" s="8">
        <v>2017.9</v>
      </c>
      <c r="C314" s="8">
        <v>2017.8963373746037</v>
      </c>
    </row>
    <row r="315" spans="1:3" x14ac:dyDescent="0.25">
      <c r="A315" s="9">
        <v>242250</v>
      </c>
      <c r="B315" s="8">
        <v>2023.1</v>
      </c>
      <c r="C315" s="8">
        <v>2023.1102167793638</v>
      </c>
    </row>
    <row r="316" spans="1:3" x14ac:dyDescent="0.25">
      <c r="A316" s="9">
        <v>242500</v>
      </c>
      <c r="B316" s="8">
        <v>2026.9</v>
      </c>
      <c r="C316" s="8">
        <v>2026.901796119045</v>
      </c>
    </row>
    <row r="317" spans="1:3" x14ac:dyDescent="0.25">
      <c r="A317" s="9">
        <v>242750</v>
      </c>
      <c r="B317" s="8">
        <v>2032.1</v>
      </c>
      <c r="C317" s="8">
        <v>2032.0967673774544</v>
      </c>
    </row>
    <row r="318" spans="1:3" x14ac:dyDescent="0.25">
      <c r="A318" s="9">
        <v>243000</v>
      </c>
      <c r="B318" s="8">
        <v>2036</v>
      </c>
      <c r="C318" s="8">
        <v>2035.9860039728803</v>
      </c>
    </row>
    <row r="319" spans="1:3" x14ac:dyDescent="0.25">
      <c r="A319" s="9">
        <v>243250</v>
      </c>
      <c r="B319" s="8">
        <v>2041.1</v>
      </c>
      <c r="C319" s="8">
        <v>2041.1121542328435</v>
      </c>
    </row>
    <row r="320" spans="1:3" x14ac:dyDescent="0.25">
      <c r="A320" s="9">
        <v>243500</v>
      </c>
      <c r="B320" s="8">
        <v>2045</v>
      </c>
      <c r="C320" s="8">
        <v>2044.9996054862054</v>
      </c>
    </row>
    <row r="321" spans="1:3" x14ac:dyDescent="0.25">
      <c r="A321" s="9">
        <v>243750</v>
      </c>
      <c r="B321" s="8">
        <v>2050.1999999999998</v>
      </c>
      <c r="C321" s="8">
        <v>2050.2066791281395</v>
      </c>
    </row>
    <row r="322" spans="1:3" x14ac:dyDescent="0.25">
      <c r="A322" s="9">
        <v>244000</v>
      </c>
      <c r="B322" s="8">
        <v>2054.1</v>
      </c>
      <c r="C322" s="8">
        <v>2054.0924219901221</v>
      </c>
    </row>
    <row r="323" spans="1:3" x14ac:dyDescent="0.25">
      <c r="A323" s="9">
        <v>244250</v>
      </c>
      <c r="B323" s="8">
        <v>2057.9</v>
      </c>
      <c r="C323" s="8">
        <v>2057.8971351634154</v>
      </c>
    </row>
    <row r="324" spans="1:3" x14ac:dyDescent="0.25">
      <c r="A324" s="9">
        <v>244500</v>
      </c>
      <c r="B324" s="8">
        <v>2063.1</v>
      </c>
      <c r="C324" s="8">
        <v>2063.1044418054516</v>
      </c>
    </row>
    <row r="325" spans="1:3" x14ac:dyDescent="0.25">
      <c r="A325" s="9">
        <v>244750</v>
      </c>
      <c r="B325" s="8">
        <v>2067</v>
      </c>
      <c r="C325" s="8">
        <v>2066.9876913069138</v>
      </c>
    </row>
    <row r="326" spans="1:3" x14ac:dyDescent="0.25">
      <c r="A326" s="9">
        <v>245000</v>
      </c>
      <c r="B326" s="8">
        <v>2072.1999999999998</v>
      </c>
      <c r="C326" s="8">
        <v>2072.2262916946897</v>
      </c>
    </row>
    <row r="327" spans="1:3" x14ac:dyDescent="0.25">
      <c r="A327" s="9">
        <v>245250</v>
      </c>
      <c r="B327" s="8">
        <v>2076</v>
      </c>
      <c r="C327" s="8">
        <v>2076.0074920568622</v>
      </c>
    </row>
    <row r="328" spans="1:3" x14ac:dyDescent="0.25">
      <c r="A328" s="9">
        <v>245500</v>
      </c>
      <c r="B328" s="8">
        <v>2081.1999999999998</v>
      </c>
      <c r="C328" s="8">
        <v>2081.1766274744914</v>
      </c>
    </row>
    <row r="329" spans="1:3" x14ac:dyDescent="0.25">
      <c r="A329" s="9">
        <v>245750</v>
      </c>
      <c r="B329" s="8">
        <v>2085.1</v>
      </c>
      <c r="C329" s="8">
        <v>2085.087175005352</v>
      </c>
    </row>
    <row r="330" spans="1:3" x14ac:dyDescent="0.25">
      <c r="A330" s="9">
        <v>246000</v>
      </c>
      <c r="B330" s="8">
        <v>2089</v>
      </c>
      <c r="C330" s="8">
        <v>2088.9869810322361</v>
      </c>
    </row>
    <row r="331" spans="1:3" x14ac:dyDescent="0.25">
      <c r="A331" s="9">
        <v>246250</v>
      </c>
      <c r="B331" s="8">
        <v>2094.1</v>
      </c>
      <c r="C331" s="8">
        <v>2094.0959880176474</v>
      </c>
    </row>
    <row r="332" spans="1:3" x14ac:dyDescent="0.25">
      <c r="A332" s="9">
        <v>246500</v>
      </c>
      <c r="B332" s="8">
        <v>2098</v>
      </c>
      <c r="C332" s="8">
        <v>2098.0147593697334</v>
      </c>
    </row>
    <row r="333" spans="1:3" x14ac:dyDescent="0.25">
      <c r="A333" s="9">
        <v>246750</v>
      </c>
      <c r="B333" s="8">
        <v>2103.1999999999998</v>
      </c>
      <c r="C333" s="8">
        <v>2103.1852951975725</v>
      </c>
    </row>
    <row r="334" spans="1:3" x14ac:dyDescent="0.25">
      <c r="A334" s="9">
        <v>247000</v>
      </c>
      <c r="B334" s="8">
        <v>2107.1</v>
      </c>
      <c r="C334" s="8">
        <v>2107.0928799966305</v>
      </c>
    </row>
    <row r="335" spans="1:3" x14ac:dyDescent="0.25">
      <c r="A335" s="9">
        <v>247250</v>
      </c>
      <c r="B335" s="8">
        <v>2110.9</v>
      </c>
      <c r="C335" s="8">
        <v>2110.909028771865</v>
      </c>
    </row>
    <row r="336" spans="1:3" x14ac:dyDescent="0.25">
      <c r="A336" s="9">
        <v>247500</v>
      </c>
      <c r="B336" s="8">
        <v>2116.1</v>
      </c>
      <c r="C336" s="8">
        <v>2116.0901150513373</v>
      </c>
    </row>
    <row r="337" spans="1:3" x14ac:dyDescent="0.25">
      <c r="A337" s="9">
        <v>247750</v>
      </c>
      <c r="B337" s="8">
        <v>2120</v>
      </c>
      <c r="C337" s="8">
        <v>2120.0064424889765</v>
      </c>
    </row>
    <row r="338" spans="1:3" x14ac:dyDescent="0.25">
      <c r="A338" s="9">
        <v>248000</v>
      </c>
      <c r="B338" s="8">
        <v>2125.1</v>
      </c>
      <c r="C338" s="8">
        <v>2125.0873505818686</v>
      </c>
    </row>
    <row r="339" spans="1:3" x14ac:dyDescent="0.25">
      <c r="A339" s="9">
        <v>248250</v>
      </c>
      <c r="B339" s="8">
        <v>2129</v>
      </c>
      <c r="C339" s="8">
        <v>2128.9826391119182</v>
      </c>
    </row>
    <row r="340" spans="1:3" x14ac:dyDescent="0.25">
      <c r="A340" s="9">
        <v>248500</v>
      </c>
      <c r="B340" s="8">
        <v>2134.1999999999998</v>
      </c>
      <c r="C340" s="8">
        <v>2134.1862856797457</v>
      </c>
    </row>
    <row r="341" spans="1:3" x14ac:dyDescent="0.25">
      <c r="A341" s="9">
        <v>248750</v>
      </c>
      <c r="B341" s="8">
        <v>2138.1</v>
      </c>
      <c r="C341" s="8">
        <v>2138.1011984971769</v>
      </c>
    </row>
    <row r="342" spans="1:3" x14ac:dyDescent="0.25">
      <c r="A342" s="9">
        <v>249000</v>
      </c>
      <c r="B342" s="8">
        <v>2141.9</v>
      </c>
      <c r="C342" s="8">
        <v>2141.8839919258126</v>
      </c>
    </row>
    <row r="343" spans="1:3" x14ac:dyDescent="0.25">
      <c r="A343" s="9">
        <v>249250</v>
      </c>
      <c r="B343" s="8">
        <v>2147.1</v>
      </c>
      <c r="C343" s="8">
        <v>2147.1087610153145</v>
      </c>
    </row>
    <row r="344" spans="1:3" x14ac:dyDescent="0.25">
      <c r="A344" s="9">
        <v>249500</v>
      </c>
      <c r="B344" s="8">
        <v>2149.6999999999998</v>
      </c>
      <c r="C344" s="8">
        <v>2149.7030686234193</v>
      </c>
    </row>
    <row r="345" spans="1:3" x14ac:dyDescent="0.25">
      <c r="A345" s="9">
        <v>249750</v>
      </c>
      <c r="B345" s="8">
        <v>2153.6</v>
      </c>
      <c r="C345" s="8">
        <v>2153.6075060775311</v>
      </c>
    </row>
    <row r="346" spans="1:3" x14ac:dyDescent="0.25">
      <c r="A346" s="9">
        <v>250000</v>
      </c>
      <c r="B346" s="8">
        <v>2157.4</v>
      </c>
      <c r="C346" s="8">
        <v>2157.3903351072008</v>
      </c>
    </row>
    <row r="347" spans="1:3" x14ac:dyDescent="0.25">
      <c r="A347" s="9">
        <v>250250</v>
      </c>
      <c r="B347" s="8">
        <v>2161.3000000000002</v>
      </c>
      <c r="C347" s="8">
        <v>2161.2848511773636</v>
      </c>
    </row>
    <row r="348" spans="1:3" x14ac:dyDescent="0.25">
      <c r="A348" s="9">
        <v>250500</v>
      </c>
      <c r="B348" s="8">
        <v>2166.5</v>
      </c>
      <c r="C348" s="8">
        <v>2166.5182949390878</v>
      </c>
    </row>
    <row r="349" spans="1:3" x14ac:dyDescent="0.25">
      <c r="A349" s="9">
        <v>250750</v>
      </c>
      <c r="B349" s="8">
        <v>2171.6999999999998</v>
      </c>
      <c r="C349" s="8">
        <v>2171.6926499386459</v>
      </c>
    </row>
    <row r="350" spans="1:3" x14ac:dyDescent="0.25">
      <c r="A350" s="9">
        <v>251000</v>
      </c>
      <c r="B350" s="8">
        <v>2175.5</v>
      </c>
      <c r="C350" s="8">
        <v>2175.5159362016157</v>
      </c>
    </row>
    <row r="351" spans="1:3" x14ac:dyDescent="0.25">
      <c r="A351" s="9">
        <v>251250</v>
      </c>
      <c r="B351" s="8">
        <v>2180.6999999999998</v>
      </c>
      <c r="C351" s="8">
        <v>2180.7121633241136</v>
      </c>
    </row>
    <row r="352" spans="1:3" x14ac:dyDescent="0.25">
      <c r="A352" s="9">
        <v>251500</v>
      </c>
      <c r="B352" s="8">
        <v>2185.9</v>
      </c>
      <c r="C352" s="8">
        <v>2185.9203859471145</v>
      </c>
    </row>
    <row r="353" spans="1:3" x14ac:dyDescent="0.25">
      <c r="A353" s="9">
        <v>251750</v>
      </c>
      <c r="B353" s="8">
        <v>2189.8000000000002</v>
      </c>
      <c r="C353" s="8">
        <v>2189.8048642291155</v>
      </c>
    </row>
    <row r="354" spans="1:3" x14ac:dyDescent="0.25">
      <c r="A354" s="9">
        <v>252000</v>
      </c>
      <c r="B354" s="8">
        <v>2194.9</v>
      </c>
      <c r="C354" s="8">
        <v>2194.8924633547249</v>
      </c>
    </row>
    <row r="355" spans="1:3" x14ac:dyDescent="0.25">
      <c r="A355" s="9">
        <v>252250</v>
      </c>
      <c r="B355" s="8">
        <v>2198.8000000000002</v>
      </c>
      <c r="C355" s="8">
        <v>2198.7876935054669</v>
      </c>
    </row>
    <row r="356" spans="1:3" x14ac:dyDescent="0.25">
      <c r="A356" s="9">
        <v>252500</v>
      </c>
      <c r="B356" s="8">
        <v>2204</v>
      </c>
      <c r="C356" s="8">
        <v>2203.9994298634065</v>
      </c>
    </row>
    <row r="357" spans="1:3" x14ac:dyDescent="0.25">
      <c r="A357" s="9">
        <v>252750</v>
      </c>
      <c r="B357" s="8">
        <v>2209.1</v>
      </c>
      <c r="C357" s="8">
        <v>2209.1210402510546</v>
      </c>
    </row>
    <row r="358" spans="1:3" x14ac:dyDescent="0.25">
      <c r="A358" s="9">
        <v>253000</v>
      </c>
      <c r="B358" s="8">
        <v>2213</v>
      </c>
      <c r="C358" s="8">
        <v>2213.0069102553634</v>
      </c>
    </row>
    <row r="359" spans="1:3" x14ac:dyDescent="0.25">
      <c r="A359" s="9">
        <v>253250</v>
      </c>
      <c r="B359" s="8">
        <v>2218.1999999999998</v>
      </c>
      <c r="C359" s="8">
        <v>2218.1917274384041</v>
      </c>
    </row>
    <row r="360" spans="1:3" x14ac:dyDescent="0.25">
      <c r="A360" s="9">
        <v>253500</v>
      </c>
      <c r="B360" s="8">
        <v>2223.4</v>
      </c>
      <c r="C360" s="8">
        <v>2223.4091176680399</v>
      </c>
    </row>
    <row r="361" spans="1:3" x14ac:dyDescent="0.25">
      <c r="A361" s="9">
        <v>253750</v>
      </c>
      <c r="B361" s="8">
        <v>2228.5</v>
      </c>
      <c r="C361" s="8">
        <v>2228.4848446418246</v>
      </c>
    </row>
    <row r="362" spans="1:3" x14ac:dyDescent="0.25">
      <c r="A362" s="9">
        <v>254000</v>
      </c>
      <c r="B362" s="8">
        <v>2232.4</v>
      </c>
      <c r="C362" s="8">
        <v>2232.4132260606962</v>
      </c>
    </row>
    <row r="363" spans="1:3" x14ac:dyDescent="0.25">
      <c r="A363" s="9">
        <v>254250</v>
      </c>
      <c r="B363" s="8">
        <v>2237.6</v>
      </c>
      <c r="C363" s="8">
        <v>2237.5935623982186</v>
      </c>
    </row>
    <row r="364" spans="1:3" x14ac:dyDescent="0.25">
      <c r="A364" s="9">
        <v>254500</v>
      </c>
      <c r="B364" s="8">
        <v>2242.6999999999998</v>
      </c>
      <c r="C364" s="8">
        <v>2242.6935806458646</v>
      </c>
    </row>
    <row r="365" spans="1:3" x14ac:dyDescent="0.25">
      <c r="A365" s="9">
        <v>254750</v>
      </c>
      <c r="B365" s="8">
        <v>2247.9</v>
      </c>
      <c r="C365" s="8">
        <v>2247.9084416162727</v>
      </c>
    </row>
    <row r="366" spans="1:3" x14ac:dyDescent="0.25">
      <c r="A366" s="9">
        <v>255000</v>
      </c>
      <c r="B366" s="8">
        <v>2251.8000000000002</v>
      </c>
      <c r="C366" s="8">
        <v>2251.7877280412476</v>
      </c>
    </row>
    <row r="367" spans="1:3" x14ac:dyDescent="0.25">
      <c r="A367" s="9">
        <v>255250</v>
      </c>
      <c r="B367" s="8">
        <v>2257</v>
      </c>
      <c r="C367" s="8">
        <v>2256.9946899748161</v>
      </c>
    </row>
    <row r="368" spans="1:3" x14ac:dyDescent="0.25">
      <c r="A368" s="9">
        <v>255500</v>
      </c>
      <c r="B368" s="8">
        <v>2262.1</v>
      </c>
      <c r="C368" s="8">
        <v>2262.0903250676124</v>
      </c>
    </row>
    <row r="369" spans="1:3" x14ac:dyDescent="0.25">
      <c r="A369" s="9">
        <v>255750</v>
      </c>
      <c r="B369" s="8">
        <v>2267.3000000000002</v>
      </c>
      <c r="C369" s="8">
        <v>2267.3011701164264</v>
      </c>
    </row>
    <row r="370" spans="1:3" x14ac:dyDescent="0.25">
      <c r="A370" s="9">
        <v>256000</v>
      </c>
      <c r="B370" s="8">
        <v>2272.5</v>
      </c>
      <c r="C370" s="8">
        <v>2272.5140451567177</v>
      </c>
    </row>
    <row r="371" spans="1:3" x14ac:dyDescent="0.25">
      <c r="A371" s="9">
        <v>256250</v>
      </c>
      <c r="B371" s="8">
        <v>2277.6</v>
      </c>
      <c r="C371" s="8">
        <v>2277.5946162384071</v>
      </c>
    </row>
    <row r="372" spans="1:3" x14ac:dyDescent="0.25">
      <c r="A372" s="9">
        <v>256500</v>
      </c>
      <c r="B372" s="8">
        <v>2282.8000000000002</v>
      </c>
      <c r="C372" s="8">
        <v>2282.7907690630636</v>
      </c>
    </row>
    <row r="373" spans="1:3" x14ac:dyDescent="0.25">
      <c r="A373" s="9">
        <v>256750</v>
      </c>
      <c r="B373" s="8">
        <v>2288</v>
      </c>
      <c r="C373" s="8">
        <v>2288.0200293882158</v>
      </c>
    </row>
    <row r="374" spans="1:3" x14ac:dyDescent="0.25">
      <c r="A374" s="9">
        <v>257000</v>
      </c>
      <c r="B374" s="8">
        <v>2293.1</v>
      </c>
      <c r="C374" s="8">
        <v>2293.106301708307</v>
      </c>
    </row>
    <row r="375" spans="1:3" x14ac:dyDescent="0.25">
      <c r="A375" s="9">
        <v>257250</v>
      </c>
      <c r="B375" s="8">
        <v>2298.3000000000002</v>
      </c>
      <c r="C375" s="8">
        <v>2298.2878115610529</v>
      </c>
    </row>
    <row r="376" spans="1:3" x14ac:dyDescent="0.25">
      <c r="A376" s="9">
        <v>257500</v>
      </c>
      <c r="B376" s="8">
        <v>2303.5</v>
      </c>
      <c r="C376" s="8">
        <v>2303.492157226382</v>
      </c>
    </row>
    <row r="377" spans="1:3" x14ac:dyDescent="0.25">
      <c r="A377" s="9">
        <v>257750</v>
      </c>
      <c r="B377" s="8">
        <v>2308.6</v>
      </c>
      <c r="C377" s="8">
        <v>2308.5843077936734</v>
      </c>
    </row>
    <row r="378" spans="1:3" x14ac:dyDescent="0.25">
      <c r="A378" s="9">
        <v>258000</v>
      </c>
      <c r="B378" s="8">
        <v>2313.8000000000002</v>
      </c>
      <c r="C378" s="8">
        <v>2313.7928330377845</v>
      </c>
    </row>
    <row r="379" spans="1:3" x14ac:dyDescent="0.25">
      <c r="A379" s="9">
        <v>258250</v>
      </c>
      <c r="B379" s="8">
        <v>2319</v>
      </c>
      <c r="C379" s="8">
        <v>2319.0139524527849</v>
      </c>
    </row>
    <row r="380" spans="1:3" x14ac:dyDescent="0.25">
      <c r="A380" s="9">
        <v>258500</v>
      </c>
      <c r="B380" s="8">
        <v>2322.9</v>
      </c>
      <c r="C380" s="8">
        <v>2322.9045866880815</v>
      </c>
    </row>
    <row r="381" spans="1:3" x14ac:dyDescent="0.25">
      <c r="A381" s="9">
        <v>258750</v>
      </c>
      <c r="B381" s="8">
        <v>2328</v>
      </c>
      <c r="C381" s="8">
        <v>2328.0040716121075</v>
      </c>
    </row>
    <row r="382" spans="1:3" x14ac:dyDescent="0.25">
      <c r="A382" s="9">
        <v>259000</v>
      </c>
      <c r="B382" s="8">
        <v>2333.1999999999998</v>
      </c>
      <c r="C382" s="8">
        <v>2333.1994258683849</v>
      </c>
    </row>
    <row r="383" spans="1:3" x14ac:dyDescent="0.25">
      <c r="A383" s="9">
        <v>259250</v>
      </c>
      <c r="B383" s="8">
        <v>2338.4</v>
      </c>
      <c r="C383" s="8">
        <v>2338.3970645982331</v>
      </c>
    </row>
    <row r="384" spans="1:3" x14ac:dyDescent="0.25">
      <c r="A384" s="9">
        <v>259500</v>
      </c>
      <c r="B384" s="8">
        <v>2343.5</v>
      </c>
      <c r="C384" s="8">
        <v>2343.513542380234</v>
      </c>
    </row>
    <row r="385" spans="1:3" x14ac:dyDescent="0.25">
      <c r="A385" s="9">
        <v>259750</v>
      </c>
      <c r="B385" s="8">
        <v>2347.4</v>
      </c>
      <c r="C385" s="8">
        <v>2347.4012503876966</v>
      </c>
    </row>
    <row r="386" spans="1:3" x14ac:dyDescent="0.25">
      <c r="A386" s="9">
        <v>260000</v>
      </c>
      <c r="B386" s="8">
        <v>2352.6</v>
      </c>
      <c r="C386" s="8">
        <v>2352.604880414151</v>
      </c>
    </row>
    <row r="387" spans="1:3" x14ac:dyDescent="0.25">
      <c r="A387" s="9">
        <v>260250</v>
      </c>
      <c r="B387" s="8">
        <v>2355.1999999999998</v>
      </c>
      <c r="C387" s="8">
        <v>2355.1954237111331</v>
      </c>
    </row>
    <row r="388" spans="1:3" x14ac:dyDescent="0.25">
      <c r="A388" s="9">
        <v>260500</v>
      </c>
      <c r="B388" s="8">
        <v>2360.3000000000002</v>
      </c>
      <c r="C388" s="8">
        <v>2360.3084211043461</v>
      </c>
    </row>
    <row r="389" spans="1:3" x14ac:dyDescent="0.25">
      <c r="A389" s="9">
        <v>260750</v>
      </c>
      <c r="B389" s="8">
        <v>2365.5</v>
      </c>
      <c r="C389" s="8">
        <v>2365.5071791212863</v>
      </c>
    </row>
    <row r="390" spans="1:3" x14ac:dyDescent="0.25">
      <c r="A390" s="9">
        <v>261000</v>
      </c>
      <c r="B390" s="8">
        <v>2370.6999999999998</v>
      </c>
      <c r="C390" s="8">
        <v>2370.6981044746808</v>
      </c>
    </row>
    <row r="391" spans="1:3" x14ac:dyDescent="0.25">
      <c r="A391" s="9">
        <v>261250</v>
      </c>
      <c r="B391" s="8">
        <v>2375.8000000000002</v>
      </c>
      <c r="C391" s="8">
        <v>2375.7977956712598</v>
      </c>
    </row>
    <row r="392" spans="1:3" x14ac:dyDescent="0.25">
      <c r="A392" s="9">
        <v>261500</v>
      </c>
      <c r="B392" s="8">
        <v>2381</v>
      </c>
      <c r="C392" s="8">
        <v>2380.9939376702723</v>
      </c>
    </row>
    <row r="393" spans="1:3" x14ac:dyDescent="0.25">
      <c r="A393" s="9">
        <v>261750</v>
      </c>
      <c r="B393" s="8">
        <v>2386.1999999999998</v>
      </c>
      <c r="C393" s="8">
        <v>2386.1823427748695</v>
      </c>
    </row>
    <row r="394" spans="1:3" x14ac:dyDescent="0.25">
      <c r="A394" s="9">
        <v>262000</v>
      </c>
      <c r="B394" s="8">
        <v>2390.1</v>
      </c>
      <c r="C394" s="8">
        <v>2390.0793906457338</v>
      </c>
    </row>
    <row r="395" spans="1:3" x14ac:dyDescent="0.25">
      <c r="A395" s="9">
        <v>262250</v>
      </c>
      <c r="B395" s="8">
        <v>2395.1999999999998</v>
      </c>
      <c r="C395" s="8">
        <v>2395.2100178862274</v>
      </c>
    </row>
    <row r="396" spans="1:3" x14ac:dyDescent="0.25">
      <c r="A396" s="9">
        <v>262500</v>
      </c>
      <c r="B396" s="8">
        <v>2400.4</v>
      </c>
      <c r="C396" s="8">
        <v>2400.3956210375359</v>
      </c>
    </row>
    <row r="397" spans="1:3" x14ac:dyDescent="0.25">
      <c r="A397" s="9">
        <v>262750</v>
      </c>
      <c r="B397" s="8">
        <v>2405.6</v>
      </c>
      <c r="C397" s="8">
        <v>2405.5841158305052</v>
      </c>
    </row>
    <row r="398" spans="1:3" x14ac:dyDescent="0.25">
      <c r="A398" s="9">
        <v>263000</v>
      </c>
      <c r="B398" s="8">
        <v>2410.6999999999998</v>
      </c>
      <c r="C398" s="8">
        <v>2410.6919806686842</v>
      </c>
    </row>
    <row r="399" spans="1:3" x14ac:dyDescent="0.25">
      <c r="A399" s="9">
        <v>263250</v>
      </c>
      <c r="B399" s="8">
        <v>2414.6</v>
      </c>
      <c r="C399" s="8">
        <v>2414.6020777993517</v>
      </c>
    </row>
    <row r="400" spans="1:3" x14ac:dyDescent="0.25">
      <c r="A400" s="9">
        <v>263500</v>
      </c>
      <c r="B400" s="8">
        <v>2419.8000000000002</v>
      </c>
      <c r="C400" s="8">
        <v>2419.8094017784506</v>
      </c>
    </row>
    <row r="401" spans="1:3" x14ac:dyDescent="0.25">
      <c r="A401" s="9">
        <v>263750</v>
      </c>
      <c r="B401" s="8">
        <v>2424.9</v>
      </c>
      <c r="C401" s="8">
        <v>2424.8736963665651</v>
      </c>
    </row>
    <row r="402" spans="1:3" x14ac:dyDescent="0.25">
      <c r="A402" s="9">
        <v>264000</v>
      </c>
      <c r="B402" s="8">
        <v>2430.1</v>
      </c>
      <c r="C402" s="8">
        <v>2430.0977288960389</v>
      </c>
    </row>
    <row r="403" spans="1:3" x14ac:dyDescent="0.25">
      <c r="A403" s="9">
        <v>264250</v>
      </c>
      <c r="B403" s="8">
        <v>2435.3000000000002</v>
      </c>
      <c r="C403" s="8">
        <v>2435.2936750524686</v>
      </c>
    </row>
    <row r="404" spans="1:3" x14ac:dyDescent="0.25">
      <c r="A404" s="9">
        <v>264500</v>
      </c>
      <c r="B404" s="8">
        <v>2440.5</v>
      </c>
      <c r="C404" s="8">
        <v>2440.5033626621735</v>
      </c>
    </row>
    <row r="405" spans="1:3" x14ac:dyDescent="0.25">
      <c r="A405" s="9">
        <v>264750</v>
      </c>
      <c r="B405" s="8">
        <v>2445.6</v>
      </c>
      <c r="C405" s="8">
        <v>2445.5805111525133</v>
      </c>
    </row>
    <row r="406" spans="1:3" x14ac:dyDescent="0.25">
      <c r="A406" s="9">
        <v>265000</v>
      </c>
      <c r="B406" s="8">
        <v>2450.8000000000002</v>
      </c>
      <c r="C406" s="8">
        <v>2450.8073865722499</v>
      </c>
    </row>
    <row r="407" spans="1:3" x14ac:dyDescent="0.25">
      <c r="A407" s="9">
        <v>265250</v>
      </c>
      <c r="B407" s="8">
        <v>2456</v>
      </c>
      <c r="C407" s="8">
        <v>2455.9959144156719</v>
      </c>
    </row>
    <row r="408" spans="1:3" x14ac:dyDescent="0.25">
      <c r="A408" s="9">
        <v>265500</v>
      </c>
      <c r="B408" s="8">
        <v>2461.1</v>
      </c>
      <c r="C408" s="8">
        <v>2461.1147476788146</v>
      </c>
    </row>
    <row r="409" spans="1:3" x14ac:dyDescent="0.25">
      <c r="A409" s="9">
        <v>265750</v>
      </c>
      <c r="B409" s="8">
        <v>2466.3000000000002</v>
      </c>
      <c r="C409" s="8">
        <v>2466.2894600228428</v>
      </c>
    </row>
    <row r="410" spans="1:3" x14ac:dyDescent="0.25">
      <c r="A410" s="9">
        <v>266000</v>
      </c>
      <c r="B410" s="8">
        <v>2471.5</v>
      </c>
      <c r="C410" s="8">
        <v>2471.4992204771984</v>
      </c>
    </row>
    <row r="411" spans="1:3" x14ac:dyDescent="0.25">
      <c r="A411" s="9">
        <v>266250</v>
      </c>
      <c r="B411" s="8">
        <v>2476.6</v>
      </c>
      <c r="C411" s="8">
        <v>2476.5871379089494</v>
      </c>
    </row>
    <row r="412" spans="1:3" x14ac:dyDescent="0.25">
      <c r="A412" s="9">
        <v>266500</v>
      </c>
      <c r="B412" s="8">
        <v>2481.8000000000002</v>
      </c>
      <c r="C412" s="8">
        <v>2481.793956267838</v>
      </c>
    </row>
    <row r="413" spans="1:3" x14ac:dyDescent="0.25">
      <c r="A413" s="9">
        <v>266750</v>
      </c>
      <c r="B413" s="8">
        <v>2487</v>
      </c>
      <c r="C413" s="8">
        <v>2486.9837186672435</v>
      </c>
    </row>
    <row r="414" spans="1:3" x14ac:dyDescent="0.25">
      <c r="A414" s="9">
        <v>267000</v>
      </c>
      <c r="B414" s="8">
        <v>2492.1</v>
      </c>
      <c r="C414" s="8">
        <v>2492.1041587340219</v>
      </c>
    </row>
    <row r="415" spans="1:3" x14ac:dyDescent="0.25">
      <c r="A415" s="9">
        <v>267250</v>
      </c>
      <c r="B415" s="8">
        <v>2497.3000000000002</v>
      </c>
      <c r="C415" s="8">
        <v>2497.3123540101233</v>
      </c>
    </row>
    <row r="416" spans="1:3" x14ac:dyDescent="0.25">
      <c r="A416" s="9">
        <v>267500</v>
      </c>
      <c r="B416" s="8">
        <v>2502.5</v>
      </c>
      <c r="C416" s="8">
        <v>2502.5246520844835</v>
      </c>
    </row>
    <row r="417" spans="1:3" x14ac:dyDescent="0.25">
      <c r="A417" s="9">
        <v>267750</v>
      </c>
      <c r="B417" s="8">
        <v>2507.6999999999998</v>
      </c>
      <c r="C417" s="8">
        <v>2507.6887919495616</v>
      </c>
    </row>
    <row r="418" spans="1:3" x14ac:dyDescent="0.25">
      <c r="A418" s="9">
        <v>268000</v>
      </c>
      <c r="B418" s="8">
        <v>2512.8000000000002</v>
      </c>
      <c r="C418" s="8">
        <v>2512.8153287779951</v>
      </c>
    </row>
    <row r="419" spans="1:3" x14ac:dyDescent="0.25">
      <c r="A419" s="9">
        <v>268250</v>
      </c>
      <c r="B419" s="8">
        <v>2518</v>
      </c>
      <c r="C419" s="8">
        <v>2518.0090136977451</v>
      </c>
    </row>
    <row r="420" spans="1:3" x14ac:dyDescent="0.25">
      <c r="A420" s="9">
        <v>268500</v>
      </c>
      <c r="B420" s="8">
        <v>2523.1999999999998</v>
      </c>
      <c r="C420" s="8">
        <v>2523.186199715004</v>
      </c>
    </row>
    <row r="421" spans="1:3" x14ac:dyDescent="0.25">
      <c r="A421" s="9">
        <v>268750</v>
      </c>
      <c r="B421" s="8">
        <v>2528.3000000000002</v>
      </c>
      <c r="C421" s="8">
        <v>2528.3155922147926</v>
      </c>
    </row>
    <row r="422" spans="1:3" x14ac:dyDescent="0.25">
      <c r="A422" s="9">
        <v>269000</v>
      </c>
      <c r="B422" s="8">
        <v>2533.5</v>
      </c>
      <c r="C422" s="8">
        <v>2533.4809955382575</v>
      </c>
    </row>
    <row r="423" spans="1:3" x14ac:dyDescent="0.25">
      <c r="A423" s="9">
        <v>269250</v>
      </c>
      <c r="B423" s="8">
        <v>2538.6999999999998</v>
      </c>
      <c r="C423" s="8">
        <v>2538.70340406081</v>
      </c>
    </row>
    <row r="424" spans="1:3" x14ac:dyDescent="0.25">
      <c r="A424" s="9">
        <v>269500</v>
      </c>
      <c r="B424" s="8">
        <v>2543.8000000000002</v>
      </c>
      <c r="C424" s="8">
        <v>2543.7946554398904</v>
      </c>
    </row>
    <row r="425" spans="1:3" x14ac:dyDescent="0.25">
      <c r="A425" s="9">
        <v>269750</v>
      </c>
      <c r="B425" s="8">
        <v>2549</v>
      </c>
      <c r="C425" s="8">
        <v>2549.0162923948396</v>
      </c>
    </row>
    <row r="426" spans="1:3" x14ac:dyDescent="0.25">
      <c r="A426" s="9">
        <v>270000</v>
      </c>
      <c r="B426" s="8">
        <v>2554.1999999999998</v>
      </c>
      <c r="C426" s="8">
        <v>2554.2010985720631</v>
      </c>
    </row>
    <row r="427" spans="1:3" x14ac:dyDescent="0.25">
      <c r="A427" s="9">
        <v>270250</v>
      </c>
      <c r="B427" s="8">
        <v>2559.3000000000002</v>
      </c>
      <c r="C427" s="8">
        <v>2559.2969669165291</v>
      </c>
    </row>
    <row r="428" spans="1:3" x14ac:dyDescent="0.25">
      <c r="A428" s="9">
        <v>270500</v>
      </c>
      <c r="B428" s="8">
        <v>2564.5</v>
      </c>
      <c r="C428" s="8">
        <v>2564.5129758727653</v>
      </c>
    </row>
    <row r="429" spans="1:3" x14ac:dyDescent="0.25">
      <c r="A429" s="9">
        <v>270750</v>
      </c>
      <c r="B429" s="8">
        <v>2569.6999999999998</v>
      </c>
      <c r="C429" s="8">
        <v>2569.7133864486509</v>
      </c>
    </row>
    <row r="430" spans="1:3" x14ac:dyDescent="0.25">
      <c r="A430" s="9">
        <v>271000</v>
      </c>
      <c r="B430" s="8">
        <v>2577.4</v>
      </c>
      <c r="C430" s="8">
        <v>2577.3866330134965</v>
      </c>
    </row>
    <row r="431" spans="1:3" x14ac:dyDescent="0.25">
      <c r="A431" s="9">
        <v>271250</v>
      </c>
      <c r="B431" s="8">
        <v>2580</v>
      </c>
      <c r="C431" s="8">
        <v>2580.0157524215792</v>
      </c>
    </row>
    <row r="432" spans="1:3" x14ac:dyDescent="0.25">
      <c r="A432" s="9">
        <v>271500</v>
      </c>
      <c r="B432" s="8">
        <v>2585.1999999999998</v>
      </c>
      <c r="C432" s="8">
        <v>2585.2118686446565</v>
      </c>
    </row>
    <row r="433" spans="1:3" x14ac:dyDescent="0.25">
      <c r="A433" s="9">
        <v>271750</v>
      </c>
      <c r="B433" s="8">
        <v>2591.6</v>
      </c>
      <c r="C433" s="8">
        <v>2591.6029155014535</v>
      </c>
    </row>
    <row r="434" spans="1:3" x14ac:dyDescent="0.25">
      <c r="A434" s="9">
        <v>272000</v>
      </c>
      <c r="B434" s="8">
        <v>2599.4</v>
      </c>
      <c r="C434" s="8">
        <v>2599.413180691754</v>
      </c>
    </row>
    <row r="435" spans="1:3" x14ac:dyDescent="0.25">
      <c r="A435" s="9">
        <v>272250</v>
      </c>
      <c r="B435" s="8">
        <v>2607.1999999999998</v>
      </c>
      <c r="C435" s="8">
        <v>2607.2153116361569</v>
      </c>
    </row>
    <row r="436" spans="1:3" x14ac:dyDescent="0.25">
      <c r="A436" s="9">
        <v>272500</v>
      </c>
      <c r="B436" s="8">
        <v>2614.9</v>
      </c>
      <c r="C436" s="8">
        <v>2614.9142605388538</v>
      </c>
    </row>
    <row r="437" spans="1:3" x14ac:dyDescent="0.25">
      <c r="A437" s="9">
        <v>272750</v>
      </c>
      <c r="B437" s="8">
        <v>2624</v>
      </c>
      <c r="C437" s="8">
        <v>2623.9897599154601</v>
      </c>
    </row>
    <row r="438" spans="1:3" x14ac:dyDescent="0.25">
      <c r="A438" s="9">
        <v>273000</v>
      </c>
      <c r="B438" s="8">
        <v>2633</v>
      </c>
      <c r="C438" s="8">
        <v>2632.9920746802004</v>
      </c>
    </row>
    <row r="439" spans="1:3" x14ac:dyDescent="0.25">
      <c r="A439" s="9">
        <v>273250</v>
      </c>
      <c r="B439" s="8">
        <v>2644.6</v>
      </c>
      <c r="C439" s="8">
        <v>2644.5961536257059</v>
      </c>
    </row>
    <row r="440" spans="1:3" x14ac:dyDescent="0.25">
      <c r="A440" s="9">
        <v>273500</v>
      </c>
      <c r="B440" s="8">
        <v>2657.6</v>
      </c>
      <c r="C440" s="8">
        <v>2657.5971700771552</v>
      </c>
    </row>
    <row r="441" spans="1:3" x14ac:dyDescent="0.25">
      <c r="A441" s="9">
        <v>273750</v>
      </c>
      <c r="B441" s="8">
        <v>2670.5</v>
      </c>
      <c r="C441" s="8">
        <v>2670.5138179233882</v>
      </c>
    </row>
    <row r="442" spans="1:3" x14ac:dyDescent="0.25">
      <c r="A442" s="9">
        <v>274000</v>
      </c>
      <c r="B442" s="8">
        <v>2682.1</v>
      </c>
      <c r="C442" s="8">
        <v>2682.0727814235584</v>
      </c>
    </row>
    <row r="443" spans="1:3" x14ac:dyDescent="0.25">
      <c r="A443" s="9">
        <v>274250</v>
      </c>
      <c r="B443" s="8">
        <v>2692.4</v>
      </c>
      <c r="C443" s="8">
        <v>2692.3958343116356</v>
      </c>
    </row>
    <row r="444" spans="1:3" x14ac:dyDescent="0.25">
      <c r="A444" s="9">
        <v>274500</v>
      </c>
      <c r="B444" s="8">
        <v>2701.5</v>
      </c>
      <c r="C444" s="8">
        <v>2701.503863506603</v>
      </c>
    </row>
    <row r="445" spans="1:3" x14ac:dyDescent="0.25">
      <c r="A445" s="9">
        <v>274750</v>
      </c>
      <c r="B445" s="8">
        <v>2710.5</v>
      </c>
      <c r="C445" s="8">
        <v>2710.5208794265427</v>
      </c>
    </row>
    <row r="446" spans="1:3" x14ac:dyDescent="0.25">
      <c r="A446" s="9">
        <v>275000</v>
      </c>
      <c r="B446" s="8">
        <v>2718.3</v>
      </c>
      <c r="C446" s="8">
        <v>2718.2885345532991</v>
      </c>
    </row>
    <row r="447" spans="1:3" x14ac:dyDescent="0.25">
      <c r="A447" s="9">
        <v>275250</v>
      </c>
      <c r="B447" s="8">
        <v>2724.7</v>
      </c>
      <c r="C447" s="8">
        <v>2724.7293215621839</v>
      </c>
    </row>
    <row r="448" spans="1:3" x14ac:dyDescent="0.25">
      <c r="A448" s="9">
        <v>275500</v>
      </c>
      <c r="B448" s="8">
        <v>2731.2</v>
      </c>
      <c r="C448" s="8">
        <v>2731.1989695450516</v>
      </c>
    </row>
    <row r="449" spans="1:3" x14ac:dyDescent="0.25">
      <c r="A449" s="9">
        <v>275750</v>
      </c>
      <c r="B449" s="8">
        <v>2737.7</v>
      </c>
      <c r="C449" s="8">
        <v>2737.6863402857862</v>
      </c>
    </row>
    <row r="450" spans="1:3" x14ac:dyDescent="0.25">
      <c r="A450" s="9">
        <v>276000</v>
      </c>
      <c r="B450" s="8">
        <v>2744.1</v>
      </c>
      <c r="C450" s="8">
        <v>2744.1014231737263</v>
      </c>
    </row>
    <row r="451" spans="1:3" x14ac:dyDescent="0.25">
      <c r="A451" s="9">
        <v>276250</v>
      </c>
      <c r="B451" s="8">
        <v>2750.6</v>
      </c>
      <c r="C451" s="8">
        <v>2750.5906058747041</v>
      </c>
    </row>
    <row r="452" spans="1:3" x14ac:dyDescent="0.25">
      <c r="A452" s="9">
        <v>276500</v>
      </c>
      <c r="B452" s="8">
        <v>2757.1</v>
      </c>
      <c r="C452" s="8">
        <v>2757.0751542006419</v>
      </c>
    </row>
    <row r="453" spans="1:3" x14ac:dyDescent="0.25">
      <c r="A453" s="9">
        <v>276750</v>
      </c>
      <c r="B453" s="8">
        <v>2763.5</v>
      </c>
      <c r="C453" s="8">
        <v>2763.498665575476</v>
      </c>
    </row>
    <row r="454" spans="1:3" x14ac:dyDescent="0.25">
      <c r="A454" s="9">
        <v>277000</v>
      </c>
      <c r="B454" s="8">
        <v>2768.7</v>
      </c>
      <c r="C454" s="8">
        <v>2768.7100126025334</v>
      </c>
    </row>
    <row r="455" spans="1:3" x14ac:dyDescent="0.25">
      <c r="A455" s="9">
        <v>277250</v>
      </c>
      <c r="B455" s="8">
        <v>2775.1</v>
      </c>
      <c r="C455" s="8">
        <v>2775.1122863493438</v>
      </c>
    </row>
    <row r="456" spans="1:3" x14ac:dyDescent="0.25">
      <c r="A456" s="9">
        <v>277500</v>
      </c>
      <c r="B456" s="8">
        <v>2781.6</v>
      </c>
      <c r="C456" s="8">
        <v>2781.6229530068485</v>
      </c>
    </row>
    <row r="457" spans="1:3" x14ac:dyDescent="0.25">
      <c r="A457" s="9">
        <v>277750</v>
      </c>
      <c r="B457" s="8">
        <v>2786.8</v>
      </c>
      <c r="C457" s="8">
        <v>2786.7972838515116</v>
      </c>
    </row>
    <row r="458" spans="1:3" x14ac:dyDescent="0.25">
      <c r="A458" s="9">
        <v>278000</v>
      </c>
      <c r="B458" s="8">
        <v>2791.9</v>
      </c>
      <c r="C458" s="8">
        <v>2791.9117117698697</v>
      </c>
    </row>
    <row r="459" spans="1:3" x14ac:dyDescent="0.25">
      <c r="A459" s="9">
        <v>278250</v>
      </c>
      <c r="B459" s="8">
        <v>2797.1</v>
      </c>
      <c r="C459" s="8">
        <v>2797.0904080159744</v>
      </c>
    </row>
    <row r="460" spans="1:3" x14ac:dyDescent="0.25">
      <c r="A460" s="9">
        <v>278500</v>
      </c>
      <c r="B460" s="8">
        <v>2802.3</v>
      </c>
      <c r="C460" s="8">
        <v>2802.3108647663153</v>
      </c>
    </row>
    <row r="461" spans="1:3" x14ac:dyDescent="0.25">
      <c r="A461" s="9">
        <v>278750</v>
      </c>
      <c r="B461" s="8">
        <v>2810</v>
      </c>
      <c r="C461" s="8">
        <v>2810.0130859676919</v>
      </c>
    </row>
    <row r="462" spans="1:3" x14ac:dyDescent="0.25">
      <c r="A462" s="9">
        <v>279000</v>
      </c>
      <c r="B462" s="8">
        <v>2815.2</v>
      </c>
      <c r="C462" s="8">
        <v>2815.2020169453281</v>
      </c>
    </row>
    <row r="463" spans="1:3" x14ac:dyDescent="0.25">
      <c r="A463" s="9">
        <v>279250</v>
      </c>
      <c r="B463" s="8">
        <v>2820.4</v>
      </c>
      <c r="C463" s="8">
        <v>2820.3994770182453</v>
      </c>
    </row>
    <row r="464" spans="1:3" x14ac:dyDescent="0.25">
      <c r="A464" s="9">
        <v>279500</v>
      </c>
      <c r="B464" s="8">
        <v>2825.5</v>
      </c>
      <c r="C464" s="8">
        <v>2825.4822442487398</v>
      </c>
    </row>
    <row r="465" spans="1:3" x14ac:dyDescent="0.25">
      <c r="A465" s="9">
        <v>279750</v>
      </c>
      <c r="B465" s="8">
        <v>2830.7</v>
      </c>
      <c r="C465" s="8">
        <v>2830.6862597074719</v>
      </c>
    </row>
    <row r="466" spans="1:3" x14ac:dyDescent="0.25">
      <c r="A466" s="9">
        <v>280000</v>
      </c>
      <c r="B466" s="8">
        <v>2835.9</v>
      </c>
      <c r="C466" s="8">
        <v>2835.8993771800042</v>
      </c>
    </row>
    <row r="467" spans="1:3" x14ac:dyDescent="0.25">
      <c r="A467" s="9" t="s">
        <v>144</v>
      </c>
      <c r="B467" s="8">
        <v>907351.49999999942</v>
      </c>
      <c r="C467" s="8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C46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6" sqref="B36:B37"/>
    </sheetView>
  </sheetViews>
  <sheetFormatPr defaultRowHeight="15" x14ac:dyDescent="0.25"/>
  <cols>
    <col min="1" max="1" width="10.7109375" customWidth="1"/>
    <col min="2" max="3" width="18.7109375" style="10" customWidth="1"/>
    <col min="4" max="5" width="10.7109375" style="5" customWidth="1"/>
    <col min="6" max="6" width="10.7109375" style="10" customWidth="1"/>
    <col min="7" max="9" width="10.7109375" style="5" customWidth="1"/>
    <col min="10" max="21" width="10.7109375" style="4" customWidth="1"/>
    <col min="22" max="59" width="10.7109375" style="3" customWidth="1"/>
    <col min="60" max="62" width="10.7109375" style="4" customWidth="1"/>
    <col min="63" max="72" width="10.7109375" style="3" customWidth="1"/>
    <col min="73" max="82" width="10.7109375" customWidth="1"/>
    <col min="83" max="88" width="10.7109375" style="4" customWidth="1"/>
    <col min="89" max="129" width="10.7109375" style="5" customWidth="1"/>
    <col min="130" max="131" width="10.7109375" style="11" customWidth="1"/>
    <col min="132" max="132" width="10.7109375" style="5" customWidth="1"/>
    <col min="133" max="134" width="10.7109375" style="3" customWidth="1"/>
    <col min="135" max="136" width="10.7109375" style="11" customWidth="1"/>
    <col min="137" max="146" width="10.7109375" style="4" customWidth="1"/>
    <col min="147" max="147" width="10.7109375" style="12" customWidth="1"/>
    <col min="148" max="169" width="10.7109375" style="4" customWidth="1"/>
    <col min="170" max="177" width="13.7109375" style="4" customWidth="1"/>
    <col min="178" max="178" width="10.7109375" style="4" customWidth="1"/>
    <col min="179" max="179" width="10.7109375" style="5" customWidth="1"/>
    <col min="180" max="180" width="11.85546875" style="5" bestFit="1" customWidth="1"/>
    <col min="181" max="181" width="15.85546875" style="5" customWidth="1"/>
    <col min="182" max="182" width="15.140625" style="5" customWidth="1"/>
    <col min="183" max="183" width="16.28515625" style="5" customWidth="1"/>
    <col min="184" max="184" width="10.5703125" style="3" bestFit="1" customWidth="1"/>
    <col min="185" max="185" width="10.42578125" style="6" bestFit="1" customWidth="1"/>
  </cols>
  <sheetData>
    <row r="1" spans="1:185" x14ac:dyDescent="0.25">
      <c r="A1" t="s">
        <v>85</v>
      </c>
      <c r="B1" s="10" t="s">
        <v>178</v>
      </c>
      <c r="C1" s="10" t="s">
        <v>179</v>
      </c>
      <c r="D1" s="5" t="s">
        <v>180</v>
      </c>
      <c r="E1" s="5" t="s">
        <v>63</v>
      </c>
      <c r="F1" s="10" t="s">
        <v>177</v>
      </c>
      <c r="G1" s="5" t="s">
        <v>170</v>
      </c>
      <c r="H1" s="3" t="s">
        <v>48</v>
      </c>
      <c r="I1" s="3" t="s">
        <v>87</v>
      </c>
      <c r="J1" s="4" t="s">
        <v>171</v>
      </c>
      <c r="K1" s="4" t="s">
        <v>219</v>
      </c>
      <c r="L1" s="11" t="s">
        <v>217</v>
      </c>
      <c r="M1" s="4" t="s">
        <v>174</v>
      </c>
      <c r="N1" s="4" t="s">
        <v>175</v>
      </c>
      <c r="O1" s="4" t="s">
        <v>176</v>
      </c>
      <c r="P1" s="11" t="s">
        <v>216</v>
      </c>
      <c r="Q1" s="5" t="s">
        <v>6</v>
      </c>
      <c r="R1" s="5" t="s">
        <v>84</v>
      </c>
      <c r="S1" s="5" t="s">
        <v>181</v>
      </c>
      <c r="T1" s="5" t="s">
        <v>184</v>
      </c>
      <c r="U1" s="4" t="s">
        <v>172</v>
      </c>
      <c r="V1" s="4" t="s">
        <v>173</v>
      </c>
      <c r="W1" s="4" t="s">
        <v>185</v>
      </c>
      <c r="X1" s="4" t="s">
        <v>1</v>
      </c>
      <c r="Y1" s="3" t="s">
        <v>3</v>
      </c>
      <c r="Z1" s="11" t="s">
        <v>218</v>
      </c>
      <c r="AA1" s="3" t="s">
        <v>220</v>
      </c>
      <c r="AB1" s="11" t="s">
        <v>221</v>
      </c>
      <c r="AC1" s="11" t="s">
        <v>88</v>
      </c>
      <c r="AD1" s="11" t="s">
        <v>0</v>
      </c>
      <c r="AE1" s="11" t="s">
        <v>147</v>
      </c>
      <c r="AF1" s="11" t="s">
        <v>148</v>
      </c>
      <c r="AG1" s="3" t="s">
        <v>7</v>
      </c>
      <c r="AH1" s="3" t="s">
        <v>8</v>
      </c>
      <c r="AI1" s="3" t="s">
        <v>9</v>
      </c>
      <c r="AJ1" s="3" t="s">
        <v>10</v>
      </c>
      <c r="AK1" s="3" t="s">
        <v>11</v>
      </c>
      <c r="AL1" s="3" t="s">
        <v>12</v>
      </c>
      <c r="AM1" s="3" t="s">
        <v>13</v>
      </c>
      <c r="AN1" s="3" t="s">
        <v>14</v>
      </c>
      <c r="AO1" s="3" t="s">
        <v>15</v>
      </c>
      <c r="AP1" s="3" t="s">
        <v>16</v>
      </c>
      <c r="AQ1" s="3" t="s">
        <v>17</v>
      </c>
      <c r="AR1" s="3" t="s">
        <v>18</v>
      </c>
      <c r="AS1" s="3" t="s">
        <v>19</v>
      </c>
      <c r="AT1" s="3" t="s">
        <v>20</v>
      </c>
      <c r="AU1" s="3" t="s">
        <v>21</v>
      </c>
      <c r="AV1" s="3" t="s">
        <v>22</v>
      </c>
      <c r="AW1" s="3" t="s">
        <v>23</v>
      </c>
      <c r="AX1" s="3" t="s">
        <v>24</v>
      </c>
      <c r="AY1" s="3" t="s">
        <v>25</v>
      </c>
      <c r="AZ1" s="3" t="s">
        <v>26</v>
      </c>
      <c r="BA1" s="3" t="s">
        <v>27</v>
      </c>
      <c r="BB1" s="3" t="s">
        <v>38</v>
      </c>
      <c r="BC1" s="3" t="s">
        <v>39</v>
      </c>
      <c r="BD1" s="3" t="s">
        <v>40</v>
      </c>
      <c r="BE1" s="3" t="s">
        <v>41</v>
      </c>
      <c r="BF1" s="3" t="s">
        <v>42</v>
      </c>
      <c r="BG1" s="3" t="s">
        <v>43</v>
      </c>
      <c r="BH1" s="3" t="s">
        <v>44</v>
      </c>
      <c r="BI1" s="3" t="s">
        <v>45</v>
      </c>
      <c r="BJ1" s="3" t="s">
        <v>46</v>
      </c>
      <c r="BK1" s="3" t="s">
        <v>47</v>
      </c>
      <c r="BL1" s="3" t="s">
        <v>28</v>
      </c>
      <c r="BM1" s="3" t="s">
        <v>29</v>
      </c>
      <c r="BN1" s="3" t="s">
        <v>30</v>
      </c>
      <c r="BO1" s="3" t="s">
        <v>31</v>
      </c>
      <c r="BP1" s="3" t="s">
        <v>32</v>
      </c>
      <c r="BQ1" s="3" t="s">
        <v>33</v>
      </c>
      <c r="BR1" s="3" t="s">
        <v>34</v>
      </c>
      <c r="BS1" s="3" t="s">
        <v>35</v>
      </c>
      <c r="BT1" s="3" t="s">
        <v>36</v>
      </c>
      <c r="BU1" s="3" t="s">
        <v>37</v>
      </c>
      <c r="BV1" s="3" t="s">
        <v>49</v>
      </c>
      <c r="BW1" s="3" t="s">
        <v>50</v>
      </c>
      <c r="BX1" s="3" t="s">
        <v>51</v>
      </c>
      <c r="BY1" s="3" t="s">
        <v>52</v>
      </c>
      <c r="BZ1" s="4" t="s">
        <v>53</v>
      </c>
      <c r="CA1" s="4" t="s">
        <v>54</v>
      </c>
      <c r="CB1" s="4" t="s">
        <v>55</v>
      </c>
      <c r="CC1" s="4" t="s">
        <v>56</v>
      </c>
      <c r="CD1" s="4" t="s">
        <v>57</v>
      </c>
      <c r="CE1" s="4" t="s">
        <v>58</v>
      </c>
      <c r="CF1" s="4" t="s">
        <v>59</v>
      </c>
      <c r="CG1" s="4" t="s">
        <v>60</v>
      </c>
      <c r="CH1" s="4" t="s">
        <v>61</v>
      </c>
      <c r="CI1" s="4" t="s">
        <v>62</v>
      </c>
      <c r="CJ1" s="5" t="s">
        <v>64</v>
      </c>
      <c r="CK1" s="5" t="s">
        <v>65</v>
      </c>
      <c r="CL1" s="5" t="s">
        <v>66</v>
      </c>
      <c r="CM1" s="5" t="s">
        <v>67</v>
      </c>
      <c r="CN1" s="5" t="s">
        <v>68</v>
      </c>
      <c r="CO1" s="5" t="s">
        <v>69</v>
      </c>
      <c r="CP1" s="5" t="s">
        <v>70</v>
      </c>
      <c r="CQ1" s="5" t="s">
        <v>71</v>
      </c>
      <c r="CR1" s="5" t="s">
        <v>72</v>
      </c>
      <c r="CS1" s="5" t="s">
        <v>73</v>
      </c>
      <c r="CT1" s="5" t="s">
        <v>74</v>
      </c>
      <c r="CU1" s="5" t="s">
        <v>75</v>
      </c>
      <c r="CV1" s="5" t="s">
        <v>76</v>
      </c>
      <c r="CW1" s="5" t="s">
        <v>77</v>
      </c>
      <c r="CX1" s="5" t="s">
        <v>78</v>
      </c>
      <c r="CY1" s="5" t="s">
        <v>79</v>
      </c>
      <c r="CZ1" s="5" t="s">
        <v>80</v>
      </c>
      <c r="DA1" s="5" t="s">
        <v>81</v>
      </c>
      <c r="DB1" s="5" t="s">
        <v>82</v>
      </c>
      <c r="DC1" s="5" t="s">
        <v>83</v>
      </c>
      <c r="DD1" s="5" t="s">
        <v>150</v>
      </c>
      <c r="DE1" s="5" t="s">
        <v>151</v>
      </c>
      <c r="DF1" s="5" t="s">
        <v>152</v>
      </c>
      <c r="DG1" s="5" t="s">
        <v>154</v>
      </c>
      <c r="DH1" s="5" t="s">
        <v>155</v>
      </c>
      <c r="DI1" s="5" t="s">
        <v>153</v>
      </c>
      <c r="DJ1" s="5" t="s">
        <v>156</v>
      </c>
      <c r="DK1" s="5" t="s">
        <v>157</v>
      </c>
      <c r="DL1" s="5" t="s">
        <v>158</v>
      </c>
      <c r="DM1" s="5" t="s">
        <v>159</v>
      </c>
      <c r="DN1" s="5" t="s">
        <v>160</v>
      </c>
      <c r="DO1" s="5" t="s">
        <v>161</v>
      </c>
      <c r="DP1" s="5" t="s">
        <v>162</v>
      </c>
      <c r="DQ1" s="5" t="s">
        <v>163</v>
      </c>
      <c r="DR1" s="5" t="s">
        <v>164</v>
      </c>
      <c r="DS1" s="5" t="s">
        <v>165</v>
      </c>
      <c r="DT1" s="5" t="s">
        <v>166</v>
      </c>
      <c r="DU1" s="5" t="s">
        <v>167</v>
      </c>
      <c r="DV1" s="5" t="s">
        <v>168</v>
      </c>
      <c r="DW1" s="5" t="s">
        <v>169</v>
      </c>
      <c r="DX1" s="4" t="s">
        <v>89</v>
      </c>
      <c r="DY1" s="4" t="s">
        <v>90</v>
      </c>
      <c r="DZ1" s="4" t="s">
        <v>91</v>
      </c>
      <c r="EA1" s="4" t="s">
        <v>92</v>
      </c>
      <c r="EB1" s="4" t="s">
        <v>93</v>
      </c>
      <c r="EC1" s="4" t="s">
        <v>94</v>
      </c>
      <c r="ED1" s="4" t="s">
        <v>95</v>
      </c>
      <c r="EE1" s="4" t="s">
        <v>96</v>
      </c>
      <c r="EF1" s="4" t="s">
        <v>97</v>
      </c>
      <c r="EG1" s="4" t="s">
        <v>98</v>
      </c>
      <c r="EH1" s="12" t="s">
        <v>149</v>
      </c>
      <c r="EI1" s="4" t="s">
        <v>99</v>
      </c>
      <c r="EJ1" s="4" t="s">
        <v>100</v>
      </c>
      <c r="EK1" s="4" t="s">
        <v>101</v>
      </c>
      <c r="EL1" s="4" t="s">
        <v>102</v>
      </c>
      <c r="EM1" s="4" t="s">
        <v>103</v>
      </c>
      <c r="EN1" s="4" t="s">
        <v>104</v>
      </c>
      <c r="EO1" s="4" t="s">
        <v>105</v>
      </c>
      <c r="EP1" s="4" t="s">
        <v>106</v>
      </c>
      <c r="EQ1" s="4" t="s">
        <v>107</v>
      </c>
      <c r="ER1" s="4" t="s">
        <v>108</v>
      </c>
      <c r="ES1" s="4" t="s">
        <v>109</v>
      </c>
      <c r="ET1" s="4" t="s">
        <v>110</v>
      </c>
      <c r="EU1" s="4" t="s">
        <v>111</v>
      </c>
      <c r="EV1" s="4" t="s">
        <v>112</v>
      </c>
      <c r="EW1" s="4" t="s">
        <v>113</v>
      </c>
      <c r="EX1" s="4" t="s">
        <v>114</v>
      </c>
      <c r="EY1" s="4" t="s">
        <v>115</v>
      </c>
      <c r="EZ1" s="4" t="s">
        <v>116</v>
      </c>
      <c r="FA1" s="4" t="s">
        <v>117</v>
      </c>
      <c r="FB1" s="4" t="s">
        <v>118</v>
      </c>
      <c r="FC1" s="4" t="s">
        <v>119</v>
      </c>
      <c r="FD1" s="4" t="s">
        <v>120</v>
      </c>
      <c r="FE1" s="4" t="s">
        <v>121</v>
      </c>
      <c r="FF1" s="4" t="s">
        <v>122</v>
      </c>
      <c r="FG1" s="4" t="s">
        <v>123</v>
      </c>
      <c r="FH1" s="4" t="s">
        <v>124</v>
      </c>
      <c r="FI1" s="4" t="s">
        <v>125</v>
      </c>
      <c r="FJ1" s="4" t="s">
        <v>126</v>
      </c>
      <c r="FK1" s="4" t="s">
        <v>127</v>
      </c>
      <c r="FL1" s="4" t="s">
        <v>128</v>
      </c>
      <c r="FM1" s="4" t="s">
        <v>129</v>
      </c>
      <c r="FN1" s="5" t="s">
        <v>132</v>
      </c>
      <c r="FO1" s="5" t="s">
        <v>133</v>
      </c>
      <c r="FP1" s="5" t="s">
        <v>134</v>
      </c>
      <c r="FQ1" s="5" t="s">
        <v>130</v>
      </c>
      <c r="FR1" s="5" t="s">
        <v>137</v>
      </c>
      <c r="FS1" s="5" t="s">
        <v>136</v>
      </c>
      <c r="FT1" s="5" t="s">
        <v>135</v>
      </c>
      <c r="FU1" s="5" t="s">
        <v>131</v>
      </c>
      <c r="FV1" s="3" t="s">
        <v>138</v>
      </c>
      <c r="FW1" s="6" t="s">
        <v>139</v>
      </c>
      <c r="FX1"/>
      <c r="FY1"/>
      <c r="FZ1"/>
      <c r="GA1"/>
      <c r="GB1"/>
      <c r="GC1"/>
    </row>
    <row r="2" spans="1:185" x14ac:dyDescent="0.25">
      <c r="A2" s="2" t="s">
        <v>86</v>
      </c>
      <c r="B2" s="2" t="s">
        <v>222</v>
      </c>
      <c r="C2" s="2" t="s">
        <v>223</v>
      </c>
      <c r="D2" s="5">
        <v>2</v>
      </c>
      <c r="E2" s="5">
        <v>130300</v>
      </c>
      <c r="F2" s="15" cm="1">
        <f t="array" ref="F2">MAX(IF(Calibration[type] = Model[[#This Row],[type]], Calibration[m]))</f>
        <v>77000</v>
      </c>
      <c r="G2" s="5">
        <v>124</v>
      </c>
      <c r="H2" s="16">
        <v>10.7</v>
      </c>
      <c r="I2" s="16">
        <v>35.799999999999997</v>
      </c>
      <c r="J2" s="16">
        <v>1.7000000000000001E-2</v>
      </c>
      <c r="K2" s="16">
        <v>3.7999999999999999E-2</v>
      </c>
      <c r="L2" s="16">
        <v>0.80700000000000005</v>
      </c>
      <c r="M2" s="16">
        <v>0.9</v>
      </c>
      <c r="N2" s="16">
        <v>0.17599999999999999</v>
      </c>
      <c r="O2" s="16">
        <v>0.17</v>
      </c>
      <c r="P2" s="5" cm="1">
        <f t="array" ref="P2">MIN(IF(Calibration[type] = Model[[#This Row],[type]], Calibration[m]))</f>
        <v>65250</v>
      </c>
      <c r="Q2" s="49">
        <v>65250</v>
      </c>
      <c r="R2" s="5">
        <f>Model[[#This Row],[m]] * g</f>
        <v>639884.89124999999</v>
      </c>
      <c r="S2" s="5">
        <f>Model[[#This Row],[S_clean]] * Model[[#This Row],[SfS]]</f>
        <v>21.080000000000002</v>
      </c>
      <c r="T2" s="5">
        <f>IF(WingArea = "Incl. flaps", SUM(Model[[#This Row],[S_clean]], Model[[#This Row],[S_flaps]]), Model[[#This Row],[S_clean]])</f>
        <v>124</v>
      </c>
      <c r="U2" s="14">
        <f>Model[[#This Row],[lambda_f]] * POWER(Model[[#This Row],[cfc]], 1.38) * Model[[#This Row],[SfS]] * IF(flap_unit = "Degrees", POWER(SIN(flap_angle), 2), POWER(SIN(flap_angle * PI() / 180), 2))</f>
        <v>4.1960376120214889E-4</v>
      </c>
      <c r="V2" s="13">
        <f>Model[[#This Row],[W]] / Model[[#This Row],[S_total]] * k_gear * POWER(Model[[#This Row],[maxtom]], -0.215)</f>
        <v>2.062201060225291E-2</v>
      </c>
      <c r="W2" s="13">
        <f>SUM(Model[[#This Row],[cD0_clean]], Model[[#This Row],[cD0_flaps]], Model[[#This Row],[cD0_gear]])</f>
        <v>3.8041614363455059E-2</v>
      </c>
      <c r="X2" s="50">
        <v>1.8353118849014101</v>
      </c>
      <c r="Y2" s="3">
        <f>POWER(Model[[#This Row],[span]], 2) / Model[[#This Row],[S_total]]</f>
        <v>10.335806451612902</v>
      </c>
      <c r="Z2" s="11">
        <f>0.0026 * flap_angle</f>
        <v>2.5999999999999999E-2</v>
      </c>
      <c r="AA2" s="11">
        <f>SUM(Model[[#This Row],[e_clean]], Model[[#This Row],[e_flaps]])</f>
        <v>0.83300000000000007</v>
      </c>
      <c r="AB2" s="11">
        <f>1 / (1 / Model[[#This Row],[k_clean]] + PI() * Model[[#This Row],[ar]] * Model[[#This Row],[e_flaps]])</f>
        <v>3.6818806912380132E-2</v>
      </c>
      <c r="AC2" s="11">
        <f>Model[[#This Row],[k_total]] * POWER(Model[[#This Row],[cL]], 2)</f>
        <v>0.12401935414095278</v>
      </c>
      <c r="AD2" s="11">
        <f>(Model[[#This Row],[cD0_total]] + Model[[#This Row],[cDi]])</f>
        <v>0.16206096850440782</v>
      </c>
      <c r="AE2" s="11">
        <f>Model[[#This Row],[cD]] - mu * Model[[#This Row],[cL]]</f>
        <v>0.12535473080637963</v>
      </c>
      <c r="AF2" s="3">
        <f>Model[[#This Row],[cL]] / Model[[#This Row],[cD]]</f>
        <v>11.324823625569609</v>
      </c>
      <c r="AG2" s="31">
        <f>SQRT(Model[[#This Row],[W]] / (0.5 * rho * Model[[#This Row],[S_total]] * Model[[#This Row],[cL]])) * Vs_to_Vlof</f>
        <v>74.528912724388547</v>
      </c>
      <c r="AH2" s="31">
        <v>0</v>
      </c>
      <c r="AI2" s="31" cm="1">
        <f t="array" ref="AI2">Model[[#This Row],[Vtas1]] + Model[[#This Row],[Vlof]:[Vlof]] / 9</f>
        <v>8.2809903027098386</v>
      </c>
      <c r="AJ2" s="31" cm="1">
        <f t="array" ref="AJ2">Model[[#This Row],[Vtas2]] + Model[[#This Row],[Vlof]:[Vlof]] / 9</f>
        <v>16.561980605419677</v>
      </c>
      <c r="AK2" s="31" cm="1">
        <f t="array" ref="AK2">Model[[#This Row],[Vtas3]] + Model[[#This Row],[Vlof]:[Vlof]] / 9</f>
        <v>24.842970908129516</v>
      </c>
      <c r="AL2" s="31" cm="1">
        <f t="array" ref="AL2">Model[[#This Row],[Vtas4]] + Model[[#This Row],[Vlof]:[Vlof]] / 9</f>
        <v>33.123961210839354</v>
      </c>
      <c r="AM2" s="31" cm="1">
        <f t="array" ref="AM2">Model[[#This Row],[Vtas5]] + Model[[#This Row],[Vlof]:[Vlof]] / 9</f>
        <v>41.404951513549193</v>
      </c>
      <c r="AN2" s="31" cm="1">
        <f t="array" ref="AN2">Model[[#This Row],[Vtas6]] + Model[[#This Row],[Vlof]:[Vlof]] / 9</f>
        <v>49.685941816259032</v>
      </c>
      <c r="AO2" s="31" cm="1">
        <f t="array" ref="AO2">Model[[#This Row],[Vtas7]] + Model[[#This Row],[Vlof]:[Vlof]] / 9</f>
        <v>57.96693211896887</v>
      </c>
      <c r="AP2" s="31" cm="1">
        <f t="array" ref="AP2">Model[[#This Row],[Vtas8]] + Model[[#This Row],[Vlof]:[Vlof]] / 9</f>
        <v>66.247922421678709</v>
      </c>
      <c r="AQ2" s="31" cm="1">
        <f t="array" ref="AQ2">Model[[#This Row],[Vtas9]] + Model[[#This Row],[Vlof]:[Vlof]] / 9</f>
        <v>74.528912724388547</v>
      </c>
      <c r="AR2" s="31">
        <v>0</v>
      </c>
      <c r="AS2" s="31" cm="1">
        <f t="array" ref="AS2">Model[[#This Row],[Vgnd1]] + Model[[#This Row],[Vlof]:[Vlof]] / 9</f>
        <v>8.2809903027098386</v>
      </c>
      <c r="AT2" s="31" cm="1">
        <f t="array" ref="AT2">Model[[#This Row],[Vgnd2]] + Model[[#This Row],[Vlof]:[Vlof]] / 9</f>
        <v>16.561980605419677</v>
      </c>
      <c r="AU2" s="31" cm="1">
        <f t="array" ref="AU2">Model[[#This Row],[Vgnd3]] + Model[[#This Row],[Vlof]:[Vlof]] / 9</f>
        <v>24.842970908129516</v>
      </c>
      <c r="AV2" s="31" cm="1">
        <f t="array" ref="AV2">Model[[#This Row],[Vgnd4]] + Model[[#This Row],[Vlof]:[Vlof]] / 9</f>
        <v>33.123961210839354</v>
      </c>
      <c r="AW2" s="31" cm="1">
        <f t="array" ref="AW2">Model[[#This Row],[Vgnd5]] + Model[[#This Row],[Vlof]:[Vlof]] / 9</f>
        <v>41.404951513549193</v>
      </c>
      <c r="AX2" s="31" cm="1">
        <f t="array" ref="AX2">Model[[#This Row],[Vgnd6]] + Model[[#This Row],[Vlof]:[Vlof]] / 9</f>
        <v>49.685941816259032</v>
      </c>
      <c r="AY2" s="31" cm="1">
        <f t="array" ref="AY2">Model[[#This Row],[Vgnd7]] + Model[[#This Row],[Vlof]:[Vlof]] / 9</f>
        <v>57.96693211896887</v>
      </c>
      <c r="AZ2" s="31" cm="1">
        <f t="array" ref="AZ2">Model[[#This Row],[Vgnd8]] + Model[[#This Row],[Vlof]:[Vlof]] / 9</f>
        <v>66.247922421678709</v>
      </c>
      <c r="BA2" s="31" cm="1">
        <f t="array" ref="BA2">Model[[#This Row],[Vgnd9]] + Model[[#This Row],[Vlof]:[Vlof]] / 9</f>
        <v>74.528912724388547</v>
      </c>
      <c r="BB2" s="33">
        <f>Model[[#This Row],[Vtas1]] / Vsnd</f>
        <v>0</v>
      </c>
      <c r="BC2" s="33">
        <f>Model[[#This Row],[Vtas2]] / Vsnd</f>
        <v>2.4984909381306104E-2</v>
      </c>
      <c r="BD2" s="33">
        <f>Model[[#This Row],[Vtas3]] / Vsnd</f>
        <v>4.9969818762612209E-2</v>
      </c>
      <c r="BE2" s="33">
        <f>Model[[#This Row],[Vtas4]] / Vsnd</f>
        <v>7.495472814391832E-2</v>
      </c>
      <c r="BF2" s="33">
        <f>Model[[#This Row],[Vtas5]] / Vsnd</f>
        <v>9.9939637525224417E-2</v>
      </c>
      <c r="BG2" s="33">
        <f>Model[[#This Row],[Vtas6]] / Vsnd</f>
        <v>0.12492454690653053</v>
      </c>
      <c r="BH2" s="33">
        <f>Model[[#This Row],[Vtas7]] / Vsnd</f>
        <v>0.14990945628783664</v>
      </c>
      <c r="BI2" s="33">
        <f>Model[[#This Row],[Vtas8]] / Vsnd</f>
        <v>0.17489436566914274</v>
      </c>
      <c r="BJ2" s="33">
        <f>Model[[#This Row],[Vtas9]] / Vsnd</f>
        <v>0.19987927505044883</v>
      </c>
      <c r="BK2" s="33">
        <f>Model[[#This Row],[Vtas10]] / Vsnd</f>
        <v>0.22486418443175493</v>
      </c>
      <c r="BL2" s="32">
        <f>0.5 * rho * POWER(Model[[#This Row],[Vtas1]], 2)</f>
        <v>0</v>
      </c>
      <c r="BM2" s="32">
        <f>0.5 * rho * POWER(Model[[#This Row],[Vtas2]], 2)</f>
        <v>42.002065241064308</v>
      </c>
      <c r="BN2" s="32">
        <f>0.5 * rho * POWER(Model[[#This Row],[Vtas3]], 2)</f>
        <v>168.00826096425723</v>
      </c>
      <c r="BO2" s="32">
        <f>0.5 * rho * POWER(Model[[#This Row],[Vtas4]], 2)</f>
        <v>378.01858716957878</v>
      </c>
      <c r="BP2" s="32">
        <f>0.5 * rho * POWER(Model[[#This Row],[Vtas5]], 2)</f>
        <v>672.03304385702893</v>
      </c>
      <c r="BQ2" s="32">
        <f>0.5 * rho * POWER(Model[[#This Row],[Vtas6]], 2)</f>
        <v>1050.051631026608</v>
      </c>
      <c r="BR2" s="32">
        <f>0.5 * rho * POWER(Model[[#This Row],[Vtas7]], 2)</f>
        <v>1512.0743486783151</v>
      </c>
      <c r="BS2" s="32">
        <f>0.5 * rho * POWER(Model[[#This Row],[Vtas8]], 2)</f>
        <v>2058.1011968121511</v>
      </c>
      <c r="BT2" s="32">
        <f>0.5 * rho * POWER(Model[[#This Row],[Vtas9]], 2)</f>
        <v>2688.1321754281157</v>
      </c>
      <c r="BU2" s="32">
        <f>0.5 * rho * POWER(Model[[#This Row],[Vtas10]], 2)</f>
        <v>3402.1672845262096</v>
      </c>
      <c r="BV2" s="3">
        <f>0.0606 * Model[[#This Row],[bpr]]  + 0.6337</f>
        <v>1.2821199999999999</v>
      </c>
      <c r="BW2" s="3">
        <f t="shared" ref="BW2:BW9" si="0">-0.4327 * POWER(dP, 2) + 1.3855 * dP + 0.0472</f>
        <v>1</v>
      </c>
      <c r="BX2" s="3">
        <f t="shared" ref="BX2:BX9" si="1">0.1377 * POWER(dP, 3) - 0.4374 * POWER(dP, 2) + 1.3003 * dP</f>
        <v>1.0005999999999999</v>
      </c>
      <c r="BY2" s="3">
        <f t="shared" ref="BY2:BY9" si="2">0.9106 * POWER(dP, 3) - 1.7736 * POWER(dP, 2) + 1.8697 * dP</f>
        <v>1.0066999999999999</v>
      </c>
      <c r="BZ2" s="4" cm="1">
        <f t="array" ref="BZ2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2" s="4" cm="1">
        <f t="array" ref="CA2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0.96919146663944955</v>
      </c>
      <c r="CB2" s="4" cm="1">
        <f t="array" ref="CB2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0.93944666934365872</v>
      </c>
      <c r="CC2" s="4" cm="1">
        <f t="array" ref="CC2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0.91076560811262774</v>
      </c>
      <c r="CD2" s="4" cm="1">
        <f t="array" ref="CD2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0.88314828294635639</v>
      </c>
      <c r="CE2" s="4" cm="1">
        <f t="array" ref="CE2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0.85659469384484488</v>
      </c>
      <c r="CF2" s="4" cm="1">
        <f t="array" ref="CF2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0.8311048408080931</v>
      </c>
      <c r="CG2" s="4" cm="1">
        <f t="array" ref="CG2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0.80667872383610106</v>
      </c>
      <c r="CH2" s="4" cm="1">
        <f t="array" ref="CH2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0.78331634292886865</v>
      </c>
      <c r="CI2" s="4" cm="1">
        <f t="array" ref="CI2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0.76101769808639608</v>
      </c>
      <c r="CJ2" s="32" cm="1">
        <f t="array" ref="CJ2">Model[[#This Row],[tr1]] * Model[[#This Row],[slst]:[slst]] * n</f>
        <v>260600</v>
      </c>
      <c r="CK2" s="32" cm="1">
        <f t="array" ref="CK2">Model[[#This Row],[tr2]] * Model[[#This Row],[slst]:[slst]] * n</f>
        <v>252571.29620624054</v>
      </c>
      <c r="CL2" s="32" cm="1">
        <f t="array" ref="CL2">Model[[#This Row],[tr3]] * Model[[#This Row],[slst]:[slst]] * n</f>
        <v>244819.80203095745</v>
      </c>
      <c r="CM2" s="32" cm="1">
        <f t="array" ref="CM2">Model[[#This Row],[tr4]] * Model[[#This Row],[slst]:[slst]] * n</f>
        <v>237345.51747415078</v>
      </c>
      <c r="CN2" s="32" cm="1">
        <f t="array" ref="CN2">Model[[#This Row],[tr5]] * Model[[#This Row],[slst]:[slst]] * n</f>
        <v>230148.44253582048</v>
      </c>
      <c r="CO2" s="32" cm="1">
        <f t="array" ref="CO2">Model[[#This Row],[tr6]] * Model[[#This Row],[slst]:[slst]] * n</f>
        <v>223228.57721596656</v>
      </c>
      <c r="CP2" s="32" cm="1">
        <f t="array" ref="CP2">Model[[#This Row],[tr7]] * Model[[#This Row],[slst]:[slst]] * n</f>
        <v>216585.92151458905</v>
      </c>
      <c r="CQ2" s="32" cm="1">
        <f t="array" ref="CQ2">Model[[#This Row],[tr8]] * Model[[#This Row],[slst]:[slst]] * n</f>
        <v>210220.47543168793</v>
      </c>
      <c r="CR2" s="32" cm="1">
        <f t="array" ref="CR2">Model[[#This Row],[tr9]] * Model[[#This Row],[slst]:[slst]] * n</f>
        <v>204132.23896726317</v>
      </c>
      <c r="CS2" s="32" cm="1">
        <f t="array" ref="CS2">Model[[#This Row],[tr10]] * Model[[#This Row],[slst]:[slst]] * n</f>
        <v>198321.21212131481</v>
      </c>
      <c r="CT2" s="32">
        <f>Model[[#This Row],[Fmax1]] * (100 - rto) / 100</f>
        <v>260600</v>
      </c>
      <c r="CU2" s="32">
        <f>Model[[#This Row],[Fmax2]] * (100 - rto) / 100</f>
        <v>252571.29620624054</v>
      </c>
      <c r="CV2" s="32">
        <f>Model[[#This Row],[Fmax3]] * (100 - rto) / 100</f>
        <v>244819.80203095745</v>
      </c>
      <c r="CW2" s="32">
        <f>Model[[#This Row],[Fmax4]] * (100 - rto) / 100</f>
        <v>237345.51747415078</v>
      </c>
      <c r="CX2" s="32">
        <f>Model[[#This Row],[Fmax5]] * (100 - rto) / 100</f>
        <v>230148.4425358205</v>
      </c>
      <c r="CY2" s="32">
        <f>Model[[#This Row],[Fmax6]] * (100 - rto) / 100</f>
        <v>223228.57721596659</v>
      </c>
      <c r="CZ2" s="32">
        <f>Model[[#This Row],[Fmax7]] * (100 - rto) / 100</f>
        <v>216585.92151458905</v>
      </c>
      <c r="DA2" s="32">
        <f>Model[[#This Row],[Fmax8]] * (100 - rto) / 100</f>
        <v>210220.47543168796</v>
      </c>
      <c r="DB2" s="32">
        <f>Model[[#This Row],[Fmax9]] * (100 - rto) / 100</f>
        <v>204132.23896726317</v>
      </c>
      <c r="DC2" s="32">
        <f>Model[[#This Row],[Fmax10]] * (100 - rto) / 100</f>
        <v>198321.21212131481</v>
      </c>
      <c r="DD2" s="32" cm="1">
        <f t="array" ref="DD2">Model[[#This Row],[cL]:[cL]] * 0.5 * rho * POWER(Model[[#This Row],[Vtas1]], 2) * Model[[#This Row],[S_total]:[S_total]]</f>
        <v>0</v>
      </c>
      <c r="DE2" s="32" cm="1">
        <f t="array" ref="DE2">Model[[#This Row],[cL]:[cL]] * 0.5 * rho * POWER(Model[[#This Row],[Vtas2]], 2) * Model[[#This Row],[S_total]:[S_total]]</f>
        <v>9558.7743013888867</v>
      </c>
      <c r="DF2" s="32" cm="1">
        <f t="array" ref="DF2">Model[[#This Row],[cL]:[cL]] * 0.5 * rho * POWER(Model[[#This Row],[Vtas3]], 2) * Model[[#This Row],[S_total]:[S_total]]</f>
        <v>38235.097205555547</v>
      </c>
      <c r="DG2" s="32" cm="1">
        <f t="array" ref="DG2">Model[[#This Row],[cL]:[cL]] * 0.5 * rho * POWER(Model[[#This Row],[Vtas4]], 2) * Model[[#This Row],[S_total]:[S_total]]</f>
        <v>86028.968712499976</v>
      </c>
      <c r="DH2" s="32" cm="1">
        <f t="array" ref="DH2">Model[[#This Row],[cL]:[cL]] * 0.5 * rho * POWER(Model[[#This Row],[Vtas5]], 2) * Model[[#This Row],[S_total]:[S_total]]</f>
        <v>152940.38882222219</v>
      </c>
      <c r="DI2" s="32" cm="1">
        <f t="array" ref="DI2">Model[[#This Row],[cL]:[cL]] * 0.5 * rho * POWER(Model[[#This Row],[Vtas6]], 2) * Model[[#This Row],[S_total]:[S_total]]</f>
        <v>238969.35753472222</v>
      </c>
      <c r="DJ2" s="32" cm="1">
        <f t="array" ref="DJ2">Model[[#This Row],[cL]:[cL]] * 0.5 * rho * POWER(Model[[#This Row],[Vtas7]], 2) * Model[[#This Row],[S_total]:[S_total]]</f>
        <v>344115.87484999991</v>
      </c>
      <c r="DK2" s="32" cm="1">
        <f t="array" ref="DK2">Model[[#This Row],[cL]:[cL]] * 0.5 * rho * POWER(Model[[#This Row],[Vtas8]], 2) * Model[[#This Row],[S_total]:[S_total]]</f>
        <v>468379.9407680555</v>
      </c>
      <c r="DL2" s="32" cm="1">
        <f t="array" ref="DL2">Model[[#This Row],[cL]:[cL]] * 0.5 * rho * POWER(Model[[#This Row],[Vtas9]], 2) * Model[[#This Row],[S_total]:[S_total]]</f>
        <v>611761.55528888875</v>
      </c>
      <c r="DM2" s="32" cm="1">
        <f t="array" ref="DM2">Model[[#This Row],[cL]:[cL]] * 0.5 * rho * POWER(Model[[#This Row],[Vtas10]], 2) * Model[[#This Row],[S_total]:[S_total]]</f>
        <v>774260.71841249987</v>
      </c>
      <c r="DN2" s="32" cm="1">
        <f t="array" ref="DN2">Model[[#This Row],[cD]:[cD]] * 0.5 * rho * POWER(Model[[#This Row],[Vtas1]], 2) * Model[[#This Row],[S_total]:[S_total]]</f>
        <v>0</v>
      </c>
      <c r="DO2" s="32" cm="1">
        <f t="array" ref="DO2">Model[[#This Row],[cD]:[cD]] * 0.5 * rho * POWER(Model[[#This Row],[Vtas2]], 2) * Model[[#This Row],[S_total]:[S_total]]</f>
        <v>844.05502614687339</v>
      </c>
      <c r="DP2" s="32" cm="1">
        <f t="array" ref="DP2">Model[[#This Row],[cD]:[cD]] * 0.5 * rho * POWER(Model[[#This Row],[Vtas3]], 2) * Model[[#This Row],[S_total]:[S_total]]</f>
        <v>3376.2201045874936</v>
      </c>
      <c r="DQ2" s="32" cm="1">
        <f t="array" ref="DQ2">Model[[#This Row],[cD]:[cD]] * 0.5 * rho * POWER(Model[[#This Row],[Vtas4]], 2) * Model[[#This Row],[S_total]:[S_total]]</f>
        <v>7596.4952353218605</v>
      </c>
      <c r="DR2" s="32" cm="1">
        <f t="array" ref="DR2">Model[[#This Row],[cD]:[cD]] * 0.5 * rho * POWER(Model[[#This Row],[Vtas5]], 2) * Model[[#This Row],[S_total]:[S_total]]</f>
        <v>13504.880418349974</v>
      </c>
      <c r="DS2" s="32" cm="1">
        <f t="array" ref="DS2">Model[[#This Row],[cD]:[cD]] * 0.5 * rho * POWER(Model[[#This Row],[Vtas6]], 2) * Model[[#This Row],[S_total]:[S_total]]</f>
        <v>21101.375653671839</v>
      </c>
      <c r="DT2" s="32" cm="1">
        <f t="array" ref="DT2">Model[[#This Row],[cD]:[cD]] * 0.5 * rho * POWER(Model[[#This Row],[Vtas7]], 2) * Model[[#This Row],[S_total]:[S_total]]</f>
        <v>30385.980941287442</v>
      </c>
      <c r="DU2" s="32" cm="1">
        <f t="array" ref="DU2">Model[[#This Row],[cD]:[cD]] * 0.5 * rho * POWER(Model[[#This Row],[Vtas8]], 2) * Model[[#This Row],[S_total]:[S_total]]</f>
        <v>41358.696281196797</v>
      </c>
      <c r="DV2" s="32" cm="1">
        <f t="array" ref="DV2">Model[[#This Row],[cD]:[cD]] * 0.5 * rho * POWER(Model[[#This Row],[Vtas9]], 2) * Model[[#This Row],[S_total]:[S_total]]</f>
        <v>54019.521673399897</v>
      </c>
      <c r="DW2" s="32" cm="1">
        <f t="array" ref="DW2">Model[[#This Row],[cD]:[cD]] * 0.5 * rho * POWER(Model[[#This Row],[Vtas10]], 2) * Model[[#This Row],[S_total]:[S_total]]</f>
        <v>68368.45711789676</v>
      </c>
      <c r="DX2" s="4" cm="1">
        <f t="array" ref="DX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3.7977364318007667</v>
      </c>
      <c r="DY2" s="4" cm="1">
        <f t="array" ref="DY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3.664685346224084</v>
      </c>
      <c r="DZ2" s="4" cm="1">
        <f t="array" ref="DZ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3.5158710505054573</v>
      </c>
      <c r="EA2" s="4" cm="1">
        <f t="array" ref="EA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3.3512935446448879</v>
      </c>
      <c r="EB2" s="4" cm="1">
        <f t="array" ref="EB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3.1709528286423754</v>
      </c>
      <c r="EC2" s="4" cm="1">
        <f t="array" ref="EC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2.9748489024979192</v>
      </c>
      <c r="ED2" s="4" cm="1">
        <f t="array" ref="ED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2.762981766211519</v>
      </c>
      <c r="EE2" s="4" cm="1">
        <f t="array" ref="EE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2.5353514197831766</v>
      </c>
      <c r="EF2" s="4" cm="1">
        <f t="array" ref="EF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2.2919578632128896</v>
      </c>
      <c r="EG2" s="4" cm="1">
        <f t="array" ref="EG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2.0328010965006595</v>
      </c>
      <c r="EH2" s="12">
        <f>(Model[[#This Row],[a1]] - Model[[#This Row],[a10]]) / Model[[#This Row],[a1]]</f>
        <v>0.46473349770174299</v>
      </c>
      <c r="EI2" s="4">
        <f>AVERAGE(Model[[#This Row],[a1]], Model[[#This Row],[a1]])</f>
        <v>3.7977364318007667</v>
      </c>
      <c r="EJ2" s="4">
        <f>AVERAGE(Model[[#This Row],[a1]], Model[[#This Row],[a2]])</f>
        <v>3.7312108890124254</v>
      </c>
      <c r="EK2" s="4">
        <f>AVERAGE(Model[[#This Row],[a2]], Model[[#This Row],[a3]])</f>
        <v>3.5902781983647705</v>
      </c>
      <c r="EL2" s="4">
        <f>AVERAGE(Model[[#This Row],[a3]], Model[[#This Row],[a4]])</f>
        <v>3.4335822975751729</v>
      </c>
      <c r="EM2" s="4">
        <f>AVERAGE(Model[[#This Row],[a4]], Model[[#This Row],[a5]])</f>
        <v>3.2611231866436317</v>
      </c>
      <c r="EN2" s="4">
        <f>AVERAGE(Model[[#This Row],[a5]], Model[[#This Row],[a6]])</f>
        <v>3.0729008655701473</v>
      </c>
      <c r="EO2" s="4">
        <f>AVERAGE(Model[[#This Row],[a6]], Model[[#This Row],[a7]])</f>
        <v>2.8689153343547193</v>
      </c>
      <c r="EP2" s="4">
        <f>AVERAGE(Model[[#This Row],[a7]], Model[[#This Row],[a8]])</f>
        <v>2.6491665929973478</v>
      </c>
      <c r="EQ2" s="4">
        <f>AVERAGE(Model[[#This Row],[a8]], Model[[#This Row],[a9]])</f>
        <v>2.4136546414980331</v>
      </c>
      <c r="ER2" s="4">
        <f>AVERAGE(Model[[#This Row],[a9]], Model[[#This Row],[a10]])</f>
        <v>2.1623794798567744</v>
      </c>
      <c r="ES2" s="4">
        <f>AVERAGE(Model[[#This Row],[Vgnd1]], Model[[#This Row],[Vgnd1]])</f>
        <v>0</v>
      </c>
      <c r="ET2" s="4">
        <f>AVERAGE(Model[[#This Row],[Vgnd1]], Model[[#This Row],[Vgnd2]])</f>
        <v>4.1404951513549193</v>
      </c>
      <c r="EU2" s="4">
        <f>AVERAGE(Model[[#This Row],[Vgnd2]], Model[[#This Row],[Vgnd3]])</f>
        <v>12.421485454064758</v>
      </c>
      <c r="EV2" s="4">
        <f>AVERAGE(Model[[#This Row],[Vgnd3]], Model[[#This Row],[Vgnd4]])</f>
        <v>20.702475756774597</v>
      </c>
      <c r="EW2" s="4">
        <f>AVERAGE(Model[[#This Row],[Vgnd4]], Model[[#This Row],[Vgnd5]])</f>
        <v>28.983466059484435</v>
      </c>
      <c r="EX2" s="4">
        <f>AVERAGE(Model[[#This Row],[Vgnd5]], Model[[#This Row],[Vgnd6]])</f>
        <v>37.264456362194274</v>
      </c>
      <c r="EY2" s="4">
        <f>AVERAGE(Model[[#This Row],[Vgnd6]], Model[[#This Row],[Vgnd7]])</f>
        <v>45.545446664904112</v>
      </c>
      <c r="EZ2" s="4">
        <f>AVERAGE(Model[[#This Row],[Vgnd7]], Model[[#This Row],[Vgnd8]])</f>
        <v>53.826436967613951</v>
      </c>
      <c r="FA2" s="4">
        <f>AVERAGE(Model[[#This Row],[Vgnd8]], Model[[#This Row],[Vgnd9]])</f>
        <v>62.10742727032379</v>
      </c>
      <c r="FB2" s="4">
        <f>AVERAGE(Model[[#This Row],[Vgnd9]], Model[[#This Row],[Vgnd10]])</f>
        <v>70.388417573033621</v>
      </c>
      <c r="FC2" s="4">
        <f>Model[[#This Row],[Vlof]] / 9</f>
        <v>8.2809903027098386</v>
      </c>
      <c r="FD2" s="4" cm="1">
        <f t="array" ref="FD2">Model[[#This Row],[Vgnd_bar1]] * Model[[#This Row],[Vgnd_int]:[Vgnd_int]] / Model[[#This Row],[a_bar1]]</f>
        <v>0</v>
      </c>
      <c r="FE2" s="4" cm="1">
        <f t="array" ref="FE2">Model[[#This Row],[Vgnd_bar2]] * Model[[#This Row],[Vgnd_int]:[Vgnd_int]] / Model[[#This Row],[a_bar2]]</f>
        <v>9.1893493068847576</v>
      </c>
      <c r="FF2" s="4" cm="1">
        <f t="array" ref="FF2">Model[[#This Row],[Vgnd_bar3]] * Model[[#This Row],[Vgnd_int]:[Vgnd_int]] / Model[[#This Row],[a_bar3]]</f>
        <v>28.650203384576503</v>
      </c>
      <c r="FG2" s="4" cm="1">
        <f t="array" ref="FG2">Model[[#This Row],[Vgnd_bar4]] * Model[[#This Row],[Vgnd_int]:[Vgnd_int]] / Model[[#This Row],[a_bar4]]</f>
        <v>49.929486503063096</v>
      </c>
      <c r="FH2" s="4" cm="1">
        <f t="array" ref="FH2">Model[[#This Row],[Vgnd_bar5]] * Model[[#This Row],[Vgnd_int]:[Vgnd_int]] / Model[[#This Row],[a_bar5]]</f>
        <v>73.59789484816487</v>
      </c>
      <c r="FI2" s="4" cm="1">
        <f t="array" ref="FI2">Model[[#This Row],[Vgnd_bar6]] * Model[[#This Row],[Vgnd_int]:[Vgnd_int]] / Model[[#This Row],[a_bar6]]</f>
        <v>100.42191898495541</v>
      </c>
      <c r="FJ2" s="4" cm="1">
        <f t="array" ref="FJ2">Model[[#This Row],[Vgnd_bar7]] * Model[[#This Row],[Vgnd_int]:[Vgnd_int]] / Model[[#This Row],[a_bar7]]</f>
        <v>131.46480749997136</v>
      </c>
      <c r="FK2" s="4" cm="1">
        <f t="array" ref="FK2">Model[[#This Row],[Vgnd_bar8]] * Model[[#This Row],[Vgnd_int]:[Vgnd_int]] / Model[[#This Row],[a_bar8]]</f>
        <v>168.25525572324011</v>
      </c>
      <c r="FL2" s="4" cm="1">
        <f t="array" ref="FL2">Model[[#This Row],[Vgnd_bar9]] * Model[[#This Row],[Vgnd_int]:[Vgnd_int]] / Model[[#This Row],[a_bar9]]</f>
        <v>213.08392431512118</v>
      </c>
      <c r="FM2" s="4" cm="1">
        <f t="array" ref="FM2">Model[[#This Row],[Vgnd_bar10]] * Model[[#This Row],[Vgnd_int]:[Vgnd_int]] / Model[[#This Row],[a_bar10]]</f>
        <v>269.55759096640605</v>
      </c>
      <c r="FN2" s="5">
        <f>SUM(Model[[#This Row],[inc1]:[inc10]])</f>
        <v>1044.1504315323834</v>
      </c>
      <c r="FO2" s="16">
        <f>Model[[#This Row],[todr_cal_air]]</f>
        <v>78.9022296705716</v>
      </c>
      <c r="FP2" s="5">
        <f>(Model[[#This Row],[todr_sim_gnd]] + Model[[#This Row],[todr_sim_air]]) * (tod_mul-1)</f>
        <v>168.45789918044315</v>
      </c>
      <c r="FQ2" s="5">
        <f>SUM(Model[[#This Row],[todr_sim_gnd]:[todr_sim_reg]])</f>
        <v>1291.5105603833981</v>
      </c>
      <c r="FR2" s="5">
        <f>Model[[#This Row],[todr_cal]] - Model[[#This Row],[todr_cal_reg]] - Model[[#This Row],[todr_cal_air]]</f>
        <v>1044.1412485902981</v>
      </c>
      <c r="FS2" s="16">
        <f>screen_height * SIN((90 - climb_angle) * PI() / 180) / SIN(climb_angle * PI() / 180) * ft_to_m</f>
        <v>78.9022296705716</v>
      </c>
      <c r="FT2" s="5">
        <f>Model[[#This Row],[todr_cal]] - Model[[#This Row],[todr_cal]] / tod_mul</f>
        <v>168.45652173913027</v>
      </c>
      <c r="FU2" s="5" cm="1">
        <f t="array" ref="FU2">_xlfn.XLOOKUP(Model[[#This Row],[type]] &amp; Model[[#This Row],[m]], Calibration[type] &amp;  Calibration[m], Calibration[todr_cal])</f>
        <v>1291.5</v>
      </c>
      <c r="FV2" s="3">
        <f>ABS(Model[[#This Row],[todr_sim]] - Model[[#This Row],[todr_cal]])</f>
        <v>1.0560383398114936E-2</v>
      </c>
      <c r="FW2" s="6">
        <f>Model[[#This Row],[diff_m]] / Model[[#This Row],[todr_cal]]</f>
        <v>8.1768357708981312E-6</v>
      </c>
      <c r="FX2"/>
      <c r="FY2"/>
      <c r="FZ2"/>
      <c r="GA2"/>
      <c r="GB2"/>
      <c r="GC2"/>
    </row>
    <row r="3" spans="1:185" x14ac:dyDescent="0.25">
      <c r="A3" s="2" t="s">
        <v>86</v>
      </c>
      <c r="B3" s="2" t="s">
        <v>222</v>
      </c>
      <c r="C3" s="2" t="s">
        <v>223</v>
      </c>
      <c r="D3" s="5">
        <v>2</v>
      </c>
      <c r="E3" s="5">
        <v>130300</v>
      </c>
      <c r="F3" s="15" cm="1">
        <f t="array" ref="F3">MAX(IF(Calibration[type] = Model[[#This Row],[type]], Calibration[m]))</f>
        <v>77000</v>
      </c>
      <c r="G3" s="5">
        <v>124</v>
      </c>
      <c r="H3" s="16">
        <v>10.7</v>
      </c>
      <c r="I3" s="16">
        <v>35.799999999999997</v>
      </c>
      <c r="J3" s="16">
        <v>1.7000000000000001E-2</v>
      </c>
      <c r="K3" s="16">
        <v>3.7999999999999999E-2</v>
      </c>
      <c r="L3" s="16">
        <v>0.80700000000000005</v>
      </c>
      <c r="M3" s="16">
        <v>0.9</v>
      </c>
      <c r="N3" s="16">
        <v>0.17599999999999999</v>
      </c>
      <c r="O3" s="16">
        <v>0.17</v>
      </c>
      <c r="P3" s="5" cm="1">
        <f t="array" ref="P3">MIN(IF(Calibration[type] = Model[[#This Row],[type]], Calibration[m]))</f>
        <v>65250</v>
      </c>
      <c r="Q3" s="5">
        <v>77000</v>
      </c>
      <c r="R3" s="5">
        <f>Model[[#This Row],[m]] * g</f>
        <v>755113.20500000007</v>
      </c>
      <c r="S3" s="5">
        <f>Model[[#This Row],[S_clean]] * Model[[#This Row],[SfS]]</f>
        <v>21.080000000000002</v>
      </c>
      <c r="T3" s="5">
        <f>IF(WingArea = "Incl. flaps", SUM(Model[[#This Row],[S_clean]], Model[[#This Row],[S_flaps]]), Model[[#This Row],[S_clean]])</f>
        <v>124</v>
      </c>
      <c r="U3" s="14">
        <f>Model[[#This Row],[lambda_f]] * POWER(Model[[#This Row],[cfc]], 1.38) * Model[[#This Row],[SfS]] * IF(flap_unit = "Degrees", POWER(SIN(flap_angle), 2), POWER(SIN(flap_angle * PI() / 180), 2))</f>
        <v>4.1960376120214889E-4</v>
      </c>
      <c r="V3" s="13">
        <f>Model[[#This Row],[W]] / Model[[#This Row],[S_total]] * k_gear * POWER(Model[[#This Row],[maxtom]], -0.215)</f>
        <v>2.4335552741355928E-2</v>
      </c>
      <c r="W3" s="13">
        <f>SUM(Model[[#This Row],[cD0_clean]], Model[[#This Row],[cD0_flaps]], Model[[#This Row],[cD0_gear]])</f>
        <v>4.175515650255808E-2</v>
      </c>
      <c r="X3" s="50">
        <v>1.9191507527203322</v>
      </c>
      <c r="Y3" s="3">
        <f>POWER(Model[[#This Row],[span]], 2) / Model[[#This Row],[S_total]]</f>
        <v>10.335806451612902</v>
      </c>
      <c r="Z3" s="11">
        <f t="shared" ref="Z3:Z9" si="3">0.0026 * flap_angle</f>
        <v>2.5999999999999999E-2</v>
      </c>
      <c r="AA3" s="11">
        <f>0.807+Model[[#This Row],[e_flaps]]</f>
        <v>0.83300000000000007</v>
      </c>
      <c r="AB3" s="11">
        <f>1 / (1 / Model[[#This Row],[k_clean]] + PI() * Model[[#This Row],[ar]] * Model[[#This Row],[e_flaps]])</f>
        <v>3.6818806912380132E-2</v>
      </c>
      <c r="AC3" s="11">
        <f>Model[[#This Row],[k_total]] * POWER(Model[[#This Row],[cL]], 2)</f>
        <v>0.13560880619330667</v>
      </c>
      <c r="AD3" s="11">
        <f>(Model[[#This Row],[cD0_total]] + Model[[#This Row],[cDi]])</f>
        <v>0.17736396269586474</v>
      </c>
      <c r="AE3" s="11">
        <f>Model[[#This Row],[cD]] - mu * Model[[#This Row],[cL]]</f>
        <v>0.1389809476414581</v>
      </c>
      <c r="AF3" s="3">
        <f>Model[[#This Row],[cL]] / Model[[#This Row],[cD]]</f>
        <v>10.820409758273163</v>
      </c>
      <c r="AG3" s="31">
        <f>SQRT(Model[[#This Row],[W]] / (0.5 * rho * Model[[#This Row],[S_total]] * Model[[#This Row],[cL]])) * Vs_to_Vlof</f>
        <v>79.173580056951238</v>
      </c>
      <c r="AH3" s="31">
        <v>0</v>
      </c>
      <c r="AI3" s="31" cm="1">
        <f t="array" ref="AI3">Model[[#This Row],[Vtas1]] + Model[[#This Row],[Vlof]:[Vlof]] / 9</f>
        <v>8.7970644507723605</v>
      </c>
      <c r="AJ3" s="31" cm="1">
        <f t="array" ref="AJ3">Model[[#This Row],[Vtas2]] + Model[[#This Row],[Vlof]:[Vlof]] / 9</f>
        <v>17.594128901544721</v>
      </c>
      <c r="AK3" s="31" cm="1">
        <f t="array" ref="AK3">Model[[#This Row],[Vtas3]] + Model[[#This Row],[Vlof]:[Vlof]] / 9</f>
        <v>26.391193352317082</v>
      </c>
      <c r="AL3" s="31" cm="1">
        <f t="array" ref="AL3">Model[[#This Row],[Vtas4]] + Model[[#This Row],[Vlof]:[Vlof]] / 9</f>
        <v>35.188257803089442</v>
      </c>
      <c r="AM3" s="31" cm="1">
        <f t="array" ref="AM3">Model[[#This Row],[Vtas5]] + Model[[#This Row],[Vlof]:[Vlof]] / 9</f>
        <v>43.985322253861803</v>
      </c>
      <c r="AN3" s="31" cm="1">
        <f t="array" ref="AN3">Model[[#This Row],[Vtas6]] + Model[[#This Row],[Vlof]:[Vlof]] / 9</f>
        <v>52.782386704634163</v>
      </c>
      <c r="AO3" s="31" cm="1">
        <f t="array" ref="AO3">Model[[#This Row],[Vtas7]] + Model[[#This Row],[Vlof]:[Vlof]] / 9</f>
        <v>61.579451155406524</v>
      </c>
      <c r="AP3" s="31" cm="1">
        <f t="array" ref="AP3">Model[[#This Row],[Vtas8]] + Model[[#This Row],[Vlof]:[Vlof]] / 9</f>
        <v>70.376515606178884</v>
      </c>
      <c r="AQ3" s="31" cm="1">
        <f t="array" ref="AQ3">Model[[#This Row],[Vtas9]] + Model[[#This Row],[Vlof]:[Vlof]] / 9</f>
        <v>79.173580056951238</v>
      </c>
      <c r="AR3" s="31">
        <v>0</v>
      </c>
      <c r="AS3" s="31" cm="1">
        <f t="array" ref="AS3">Model[[#This Row],[Vgnd1]] + Model[[#This Row],[Vlof]:[Vlof]] / 9</f>
        <v>8.7970644507723605</v>
      </c>
      <c r="AT3" s="31" cm="1">
        <f t="array" ref="AT3">Model[[#This Row],[Vgnd2]] + Model[[#This Row],[Vlof]:[Vlof]] / 9</f>
        <v>17.594128901544721</v>
      </c>
      <c r="AU3" s="31" cm="1">
        <f t="array" ref="AU3">Model[[#This Row],[Vgnd3]] + Model[[#This Row],[Vlof]:[Vlof]] / 9</f>
        <v>26.391193352317082</v>
      </c>
      <c r="AV3" s="31" cm="1">
        <f t="array" ref="AV3">Model[[#This Row],[Vgnd4]] + Model[[#This Row],[Vlof]:[Vlof]] / 9</f>
        <v>35.188257803089442</v>
      </c>
      <c r="AW3" s="31" cm="1">
        <f t="array" ref="AW3">Model[[#This Row],[Vgnd5]] + Model[[#This Row],[Vlof]:[Vlof]] / 9</f>
        <v>43.985322253861803</v>
      </c>
      <c r="AX3" s="31" cm="1">
        <f t="array" ref="AX3">Model[[#This Row],[Vgnd6]] + Model[[#This Row],[Vlof]:[Vlof]] / 9</f>
        <v>52.782386704634163</v>
      </c>
      <c r="AY3" s="31" cm="1">
        <f t="array" ref="AY3">Model[[#This Row],[Vgnd7]] + Model[[#This Row],[Vlof]:[Vlof]] / 9</f>
        <v>61.579451155406524</v>
      </c>
      <c r="AZ3" s="31" cm="1">
        <f t="array" ref="AZ3">Model[[#This Row],[Vgnd8]] + Model[[#This Row],[Vlof]:[Vlof]] / 9</f>
        <v>70.376515606178884</v>
      </c>
      <c r="BA3" s="31" cm="1">
        <f t="array" ref="BA3">Model[[#This Row],[Vgnd9]] + Model[[#This Row],[Vlof]:[Vlof]] / 9</f>
        <v>79.173580056951238</v>
      </c>
      <c r="BB3" s="33">
        <f>Model[[#This Row],[Vtas1]] / Vsnd</f>
        <v>0</v>
      </c>
      <c r="BC3" s="33">
        <f>Model[[#This Row],[Vtas2]] / Vsnd</f>
        <v>2.6541977479690119E-2</v>
      </c>
      <c r="BD3" s="33">
        <f>Model[[#This Row],[Vtas3]] / Vsnd</f>
        <v>5.3083954959380238E-2</v>
      </c>
      <c r="BE3" s="33">
        <f>Model[[#This Row],[Vtas4]] / Vsnd</f>
        <v>7.9625932439070346E-2</v>
      </c>
      <c r="BF3" s="33">
        <f>Model[[#This Row],[Vtas5]] / Vsnd</f>
        <v>0.10616790991876048</v>
      </c>
      <c r="BG3" s="33">
        <f>Model[[#This Row],[Vtas6]] / Vsnd</f>
        <v>0.13270988739845058</v>
      </c>
      <c r="BH3" s="33">
        <f>Model[[#This Row],[Vtas7]] / Vsnd</f>
        <v>0.15925186487814069</v>
      </c>
      <c r="BI3" s="33">
        <f>Model[[#This Row],[Vtas8]] / Vsnd</f>
        <v>0.18579384235783084</v>
      </c>
      <c r="BJ3" s="33">
        <f>Model[[#This Row],[Vtas9]] / Vsnd</f>
        <v>0.21233581983752095</v>
      </c>
      <c r="BK3" s="33">
        <f>Model[[#This Row],[Vtas10]] / Vsnd</f>
        <v>0.23887779731721104</v>
      </c>
      <c r="BL3" s="32">
        <f>0.5 * rho * POWER(Model[[#This Row],[Vtas1]], 2)</f>
        <v>0</v>
      </c>
      <c r="BM3" s="32">
        <f>0.5 * rho * POWER(Model[[#This Row],[Vtas2]], 2)</f>
        <v>47.40036005751373</v>
      </c>
      <c r="BN3" s="32">
        <f>0.5 * rho * POWER(Model[[#This Row],[Vtas3]], 2)</f>
        <v>189.60144023005492</v>
      </c>
      <c r="BO3" s="32">
        <f>0.5 * rho * POWER(Model[[#This Row],[Vtas4]], 2)</f>
        <v>426.60324051762353</v>
      </c>
      <c r="BP3" s="32">
        <f>0.5 * rho * POWER(Model[[#This Row],[Vtas5]], 2)</f>
        <v>758.40576092021968</v>
      </c>
      <c r="BQ3" s="32">
        <f>0.5 * rho * POWER(Model[[#This Row],[Vtas6]], 2)</f>
        <v>1185.0090014378432</v>
      </c>
      <c r="BR3" s="32">
        <f>0.5 * rho * POWER(Model[[#This Row],[Vtas7]], 2)</f>
        <v>1706.4129620704941</v>
      </c>
      <c r="BS3" s="32">
        <f>0.5 * rho * POWER(Model[[#This Row],[Vtas8]], 2)</f>
        <v>2322.6176428181725</v>
      </c>
      <c r="BT3" s="32">
        <f>0.5 * rho * POWER(Model[[#This Row],[Vtas9]], 2)</f>
        <v>3033.6230436808787</v>
      </c>
      <c r="BU3" s="32">
        <f>0.5 * rho * POWER(Model[[#This Row],[Vtas10]], 2)</f>
        <v>3839.4291646586112</v>
      </c>
      <c r="BV3" s="3">
        <f>0.0606 * Model[[#This Row],[bpr]]  + 0.6337</f>
        <v>1.2821199999999999</v>
      </c>
      <c r="BW3" s="3">
        <f t="shared" si="0"/>
        <v>1</v>
      </c>
      <c r="BX3" s="3">
        <f t="shared" si="1"/>
        <v>1.0005999999999999</v>
      </c>
      <c r="BY3" s="3">
        <f t="shared" si="2"/>
        <v>1.0066999999999999</v>
      </c>
      <c r="BZ3" s="4" cm="1">
        <f t="array" ref="BZ3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3" s="4" cm="1">
        <f t="array" ref="CA3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0.96730668018286292</v>
      </c>
      <c r="CB3" s="4" cm="1">
        <f t="array" ref="CB3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0.93581381258602481</v>
      </c>
      <c r="CC3" s="4" cm="1">
        <f t="array" ref="CC3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0.90552139720948543</v>
      </c>
      <c r="CD3" s="4" cm="1">
        <f t="array" ref="CD3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0.87642943405324503</v>
      </c>
      <c r="CE3" s="4" cm="1">
        <f t="array" ref="CE3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0.84853792311730347</v>
      </c>
      <c r="CF3" s="4" cm="1">
        <f t="array" ref="CF3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0.82184686440166088</v>
      </c>
      <c r="CG3" s="4" cm="1">
        <f t="array" ref="CG3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0.79635625790631714</v>
      </c>
      <c r="CH3" s="4" cm="1">
        <f t="array" ref="CH3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0.77206610363127215</v>
      </c>
      <c r="CI3" s="4" cm="1">
        <f t="array" ref="CI3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0.74897640157652623</v>
      </c>
      <c r="CJ3" s="32" cm="1">
        <f t="array" ref="CJ3">Model[[#This Row],[tr1]] * Model[[#This Row],[slst]:[slst]] * n</f>
        <v>260600</v>
      </c>
      <c r="CK3" s="32" cm="1">
        <f t="array" ref="CK3">Model[[#This Row],[tr2]] * Model[[#This Row],[slst]:[slst]] * n</f>
        <v>252080.12085565407</v>
      </c>
      <c r="CL3" s="32" cm="1">
        <f t="array" ref="CL3">Model[[#This Row],[tr3]] * Model[[#This Row],[slst]:[slst]] * n</f>
        <v>243873.07955991806</v>
      </c>
      <c r="CM3" s="32" cm="1">
        <f t="array" ref="CM3">Model[[#This Row],[tr4]] * Model[[#This Row],[slst]:[slst]] * n</f>
        <v>235978.87611279191</v>
      </c>
      <c r="CN3" s="32" cm="1">
        <f t="array" ref="CN3">Model[[#This Row],[tr5]] * Model[[#This Row],[slst]:[slst]] * n</f>
        <v>228397.51051427567</v>
      </c>
      <c r="CO3" s="32" cm="1">
        <f t="array" ref="CO3">Model[[#This Row],[tr6]] * Model[[#This Row],[slst]:[slst]] * n</f>
        <v>221128.98276436928</v>
      </c>
      <c r="CP3" s="32" cm="1">
        <f t="array" ref="CP3">Model[[#This Row],[tr7]] * Model[[#This Row],[slst]:[slst]] * n</f>
        <v>214173.29286307283</v>
      </c>
      <c r="CQ3" s="32" cm="1">
        <f t="array" ref="CQ3">Model[[#This Row],[tr8]] * Model[[#This Row],[slst]:[slst]] * n</f>
        <v>207530.44081038624</v>
      </c>
      <c r="CR3" s="32" cm="1">
        <f t="array" ref="CR3">Model[[#This Row],[tr9]] * Model[[#This Row],[slst]:[slst]] * n</f>
        <v>201200.42660630951</v>
      </c>
      <c r="CS3" s="32" cm="1">
        <f t="array" ref="CS3">Model[[#This Row],[tr10]] * Model[[#This Row],[slst]:[slst]] * n</f>
        <v>195183.25025084274</v>
      </c>
      <c r="CT3" s="32">
        <f>Model[[#This Row],[Fmax1]] * (100 - rto) / 100</f>
        <v>260600</v>
      </c>
      <c r="CU3" s="32">
        <f>Model[[#This Row],[Fmax2]] * (100 - rto) / 100</f>
        <v>252080.12085565407</v>
      </c>
      <c r="CV3" s="32">
        <f>Model[[#This Row],[Fmax3]] * (100 - rto) / 100</f>
        <v>243873.07955991806</v>
      </c>
      <c r="CW3" s="32">
        <f>Model[[#This Row],[Fmax4]] * (100 - rto) / 100</f>
        <v>235978.87611279188</v>
      </c>
      <c r="CX3" s="32">
        <f>Model[[#This Row],[Fmax5]] * (100 - rto) / 100</f>
        <v>228397.51051427567</v>
      </c>
      <c r="CY3" s="32">
        <f>Model[[#This Row],[Fmax6]] * (100 - rto) / 100</f>
        <v>221128.98276436928</v>
      </c>
      <c r="CZ3" s="32">
        <f>Model[[#This Row],[Fmax7]] * (100 - rto) / 100</f>
        <v>214173.29286307283</v>
      </c>
      <c r="DA3" s="32">
        <f>Model[[#This Row],[Fmax8]] * (100 - rto) / 100</f>
        <v>207530.44081038624</v>
      </c>
      <c r="DB3" s="32">
        <f>Model[[#This Row],[Fmax9]] * (100 - rto) / 100</f>
        <v>201200.42660630951</v>
      </c>
      <c r="DC3" s="32">
        <f>Model[[#This Row],[Fmax10]] * (100 - rto) / 100</f>
        <v>195183.25025084277</v>
      </c>
      <c r="DD3" s="32" cm="1">
        <f t="array" ref="DD3">Model[[#This Row],[cL]:[cL]] * 0.5 * rho * POWER(Model[[#This Row],[Vtas1]], 2) * Model[[#This Row],[S_total]:[S_total]]</f>
        <v>0</v>
      </c>
      <c r="DE3" s="32" cm="1">
        <f t="array" ref="DE3">Model[[#This Row],[cL]:[cL]] * 0.5 * rho * POWER(Model[[#This Row],[Vtas2]], 2) * Model[[#This Row],[S_total]:[S_total]]</f>
        <v>11280.086148765438</v>
      </c>
      <c r="DF3" s="32" cm="1">
        <f t="array" ref="DF3">Model[[#This Row],[cL]:[cL]] * 0.5 * rho * POWER(Model[[#This Row],[Vtas3]], 2) * Model[[#This Row],[S_total]:[S_total]]</f>
        <v>45120.344595061753</v>
      </c>
      <c r="DG3" s="32" cm="1">
        <f t="array" ref="DG3">Model[[#This Row],[cL]:[cL]] * 0.5 * rho * POWER(Model[[#This Row],[Vtas4]], 2) * Model[[#This Row],[S_total]:[S_total]]</f>
        <v>101520.77533888893</v>
      </c>
      <c r="DH3" s="32" cm="1">
        <f t="array" ref="DH3">Model[[#This Row],[cL]:[cL]] * 0.5 * rho * POWER(Model[[#This Row],[Vtas5]], 2) * Model[[#This Row],[S_total]:[S_total]]</f>
        <v>180481.37838024701</v>
      </c>
      <c r="DI3" s="32" cm="1">
        <f t="array" ref="DI3">Model[[#This Row],[cL]:[cL]] * 0.5 * rho * POWER(Model[[#This Row],[Vtas6]], 2) * Model[[#This Row],[S_total]:[S_total]]</f>
        <v>282002.15371913597</v>
      </c>
      <c r="DJ3" s="32" cm="1">
        <f t="array" ref="DJ3">Model[[#This Row],[cL]:[cL]] * 0.5 * rho * POWER(Model[[#This Row],[Vtas7]], 2) * Model[[#This Row],[S_total]:[S_total]]</f>
        <v>406083.1013555557</v>
      </c>
      <c r="DK3" s="32" cm="1">
        <f t="array" ref="DK3">Model[[#This Row],[cL]:[cL]] * 0.5 * rho * POWER(Model[[#This Row],[Vtas8]], 2) * Model[[#This Row],[S_total]:[S_total]]</f>
        <v>552724.22128950641</v>
      </c>
      <c r="DL3" s="32" cm="1">
        <f t="array" ref="DL3">Model[[#This Row],[cL]:[cL]] * 0.5 * rho * POWER(Model[[#This Row],[Vtas9]], 2) * Model[[#This Row],[S_total]:[S_total]]</f>
        <v>721925.51352098805</v>
      </c>
      <c r="DM3" s="32" cm="1">
        <f t="array" ref="DM3">Model[[#This Row],[cL]:[cL]] * 0.5 * rho * POWER(Model[[#This Row],[Vtas10]], 2) * Model[[#This Row],[S_total]:[S_total]]</f>
        <v>913686.97805000038</v>
      </c>
      <c r="DN3" s="32" cm="1">
        <f t="array" ref="DN3">Model[[#This Row],[cD]:[cD]] * 0.5 * rho * POWER(Model[[#This Row],[Vtas1]], 2) * Model[[#This Row],[S_total]:[S_total]]</f>
        <v>0</v>
      </c>
      <c r="DO3" s="32" cm="1">
        <f t="array" ref="DO3">Model[[#This Row],[cD]:[cD]] * 0.5 * rho * POWER(Model[[#This Row],[Vtas2]], 2) * Model[[#This Row],[S_total]:[S_total]]</f>
        <v>1042.4823459334164</v>
      </c>
      <c r="DP3" s="32" cm="1">
        <f t="array" ref="DP3">Model[[#This Row],[cD]:[cD]] * 0.5 * rho * POWER(Model[[#This Row],[Vtas3]], 2) * Model[[#This Row],[S_total]:[S_total]]</f>
        <v>4169.9293837336654</v>
      </c>
      <c r="DQ3" s="32" cm="1">
        <f t="array" ref="DQ3">Model[[#This Row],[cD]:[cD]] * 0.5 * rho * POWER(Model[[#This Row],[Vtas4]], 2) * Model[[#This Row],[S_total]:[S_total]]</f>
        <v>9382.3411134007456</v>
      </c>
      <c r="DR3" s="32" cm="1">
        <f t="array" ref="DR3">Model[[#This Row],[cD]:[cD]] * 0.5 * rho * POWER(Model[[#This Row],[Vtas5]], 2) * Model[[#This Row],[S_total]:[S_total]]</f>
        <v>16679.717534934662</v>
      </c>
      <c r="DS3" s="32" cm="1">
        <f t="array" ref="DS3">Model[[#This Row],[cD]:[cD]] * 0.5 * rho * POWER(Model[[#This Row],[Vtas6]], 2) * Model[[#This Row],[S_total]:[S_total]]</f>
        <v>26062.058648335405</v>
      </c>
      <c r="DT3" s="32" cm="1">
        <f t="array" ref="DT3">Model[[#This Row],[cD]:[cD]] * 0.5 * rho * POWER(Model[[#This Row],[Vtas7]], 2) * Model[[#This Row],[S_total]:[S_total]]</f>
        <v>37529.364453602982</v>
      </c>
      <c r="DU3" s="32" cm="1">
        <f t="array" ref="DU3">Model[[#This Row],[cD]:[cD]] * 0.5 * rho * POWER(Model[[#This Row],[Vtas8]], 2) * Model[[#This Row],[S_total]:[S_total]]</f>
        <v>51081.634950737396</v>
      </c>
      <c r="DV3" s="32" cm="1">
        <f t="array" ref="DV3">Model[[#This Row],[cD]:[cD]] * 0.5 * rho * POWER(Model[[#This Row],[Vtas9]], 2) * Model[[#This Row],[S_total]:[S_total]]</f>
        <v>66718.870139738647</v>
      </c>
      <c r="DW3" s="32" cm="1">
        <f t="array" ref="DW3">Model[[#This Row],[cD]:[cD]] * 0.5 * rho * POWER(Model[[#This Row],[Vtas10]], 2) * Model[[#This Row],[S_total]:[S_total]]</f>
        <v>84441.070020606698</v>
      </c>
      <c r="DX3" s="4" cm="1">
        <f t="array" ref="DX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DY3" s="4" cm="1">
        <f t="array" ref="DY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3.0670256640609863</v>
      </c>
      <c r="DZ3" s="4" cm="1">
        <f t="array" ref="DZ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2.9286141943907222</v>
      </c>
      <c r="EA3" s="4" cm="1">
        <f t="array" ref="EA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2.7730478754047909</v>
      </c>
      <c r="EB3" s="4" cm="1">
        <f t="array" ref="EB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2.6003267071031937</v>
      </c>
      <c r="EC3" s="4" cm="1">
        <f t="array" ref="EC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2.4104506894859297</v>
      </c>
      <c r="ED3" s="4" cm="1">
        <f t="array" ref="ED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2.2034198225529993</v>
      </c>
      <c r="EE3" s="4" cm="1">
        <f t="array" ref="EE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1.9792341063044021</v>
      </c>
      <c r="EF3" s="4" cm="1">
        <f t="array" ref="EF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1.7378935407401377</v>
      </c>
      <c r="EG3" s="4" cm="1">
        <f t="array" ref="EG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1.4793981258602085</v>
      </c>
      <c r="EH3" s="12">
        <f>(Model[[#This Row],[a1]] - Model[[#This Row],[a10]]) / Model[[#This Row],[a1]]</f>
        <v>0.53598897654340416</v>
      </c>
      <c r="EI3" s="4">
        <f>AVERAGE(Model[[#This Row],[a1]], Model[[#This Row],[a1]])</f>
        <v>3.188282284415584</v>
      </c>
      <c r="EJ3" s="4">
        <f>AVERAGE(Model[[#This Row],[a1]], Model[[#This Row],[a2]])</f>
        <v>3.1276539742382852</v>
      </c>
      <c r="EK3" s="4">
        <f>AVERAGE(Model[[#This Row],[a2]], Model[[#This Row],[a3]])</f>
        <v>2.9978199292258543</v>
      </c>
      <c r="EL3" s="4">
        <f>AVERAGE(Model[[#This Row],[a3]], Model[[#This Row],[a4]])</f>
        <v>2.8508310348977566</v>
      </c>
      <c r="EM3" s="4">
        <f>AVERAGE(Model[[#This Row],[a4]], Model[[#This Row],[a5]])</f>
        <v>2.6866872912539925</v>
      </c>
      <c r="EN3" s="4">
        <f>AVERAGE(Model[[#This Row],[a5]], Model[[#This Row],[a6]])</f>
        <v>2.5053886982945617</v>
      </c>
      <c r="EO3" s="4">
        <f>AVERAGE(Model[[#This Row],[a6]], Model[[#This Row],[a7]])</f>
        <v>2.3069352560194645</v>
      </c>
      <c r="EP3" s="4">
        <f>AVERAGE(Model[[#This Row],[a7]], Model[[#This Row],[a8]])</f>
        <v>2.0913269644287009</v>
      </c>
      <c r="EQ3" s="4">
        <f>AVERAGE(Model[[#This Row],[a8]], Model[[#This Row],[a9]])</f>
        <v>1.8585638235222699</v>
      </c>
      <c r="ER3" s="4">
        <f>AVERAGE(Model[[#This Row],[a9]], Model[[#This Row],[a10]])</f>
        <v>1.608645833300173</v>
      </c>
      <c r="ES3" s="4">
        <f>AVERAGE(Model[[#This Row],[Vgnd1]], Model[[#This Row],[Vgnd1]])</f>
        <v>0</v>
      </c>
      <c r="ET3" s="4">
        <f>AVERAGE(Model[[#This Row],[Vgnd1]], Model[[#This Row],[Vgnd2]])</f>
        <v>4.3985322253861803</v>
      </c>
      <c r="EU3" s="4">
        <f>AVERAGE(Model[[#This Row],[Vgnd2]], Model[[#This Row],[Vgnd3]])</f>
        <v>13.195596676158541</v>
      </c>
      <c r="EV3" s="4">
        <f>AVERAGE(Model[[#This Row],[Vgnd3]], Model[[#This Row],[Vgnd4]])</f>
        <v>21.992661126930901</v>
      </c>
      <c r="EW3" s="4">
        <f>AVERAGE(Model[[#This Row],[Vgnd4]], Model[[#This Row],[Vgnd5]])</f>
        <v>30.789725577703262</v>
      </c>
      <c r="EX3" s="4">
        <f>AVERAGE(Model[[#This Row],[Vgnd5]], Model[[#This Row],[Vgnd6]])</f>
        <v>39.586790028475619</v>
      </c>
      <c r="EY3" s="4">
        <f>AVERAGE(Model[[#This Row],[Vgnd6]], Model[[#This Row],[Vgnd7]])</f>
        <v>48.383854479247987</v>
      </c>
      <c r="EZ3" s="4">
        <f>AVERAGE(Model[[#This Row],[Vgnd7]], Model[[#This Row],[Vgnd8]])</f>
        <v>57.18091893002034</v>
      </c>
      <c r="FA3" s="4">
        <f>AVERAGE(Model[[#This Row],[Vgnd8]], Model[[#This Row],[Vgnd9]])</f>
        <v>65.977983380792708</v>
      </c>
      <c r="FB3" s="4">
        <f>AVERAGE(Model[[#This Row],[Vgnd9]], Model[[#This Row],[Vgnd10]])</f>
        <v>74.775047831565061</v>
      </c>
      <c r="FC3" s="4">
        <f>Model[[#This Row],[Vlof]] / 9</f>
        <v>8.7970644507723605</v>
      </c>
      <c r="FD3" s="4" cm="1">
        <f t="array" ref="FD3">Model[[#This Row],[Vgnd_bar1]] * Model[[#This Row],[Vgnd_int]:[Vgnd_int]] / Model[[#This Row],[a_bar1]]</f>
        <v>0</v>
      </c>
      <c r="FE3" s="4" cm="1">
        <f t="array" ref="FE3">Model[[#This Row],[Vgnd_bar2]] * Model[[#This Row],[Vgnd_int]:[Vgnd_int]] / Model[[#This Row],[a_bar2]]</f>
        <v>12.371627997929362</v>
      </c>
      <c r="FF3" s="4" cm="1">
        <f t="array" ref="FF3">Model[[#This Row],[Vgnd_bar3]] * Model[[#This Row],[Vgnd_int]:[Vgnd_int]] / Model[[#This Row],[a_bar3]]</f>
        <v>38.72231060140458</v>
      </c>
      <c r="FG3" s="4" cm="1">
        <f t="array" ref="FG3">Model[[#This Row],[Vgnd_bar4]] * Model[[#This Row],[Vgnd_int]:[Vgnd_int]] / Model[[#This Row],[a_bar4]]</f>
        <v>67.864722605191432</v>
      </c>
      <c r="FH3" s="4" cm="1">
        <f t="array" ref="FH3">Model[[#This Row],[Vgnd_bar5]] * Model[[#This Row],[Vgnd_int]:[Vgnd_int]] / Model[[#This Row],[a_bar5]]</f>
        <v>100.81530560344005</v>
      </c>
      <c r="FI3" s="4" cm="1">
        <f t="array" ref="FI3">Model[[#This Row],[Vgnd_bar6]] * Model[[#This Row],[Vgnd_int]:[Vgnd_int]] / Model[[#This Row],[a_bar6]]</f>
        <v>138.99940696497416</v>
      </c>
      <c r="FJ3" s="4" cm="1">
        <f t="array" ref="FJ3">Model[[#This Row],[Vgnd_bar7]] * Model[[#This Row],[Vgnd_int]:[Vgnd_int]] / Model[[#This Row],[a_bar7]]</f>
        <v>184.50274454826064</v>
      </c>
      <c r="FK3" s="4" cm="1">
        <f t="array" ref="FK3">Model[[#This Row],[Vgnd_bar8]] * Model[[#This Row],[Vgnd_int]:[Vgnd_int]] / Model[[#This Row],[a_bar8]]</f>
        <v>240.52873497912944</v>
      </c>
      <c r="FL3" s="4" cm="1">
        <f t="array" ref="FL3">Model[[#This Row],[Vgnd_bar9]] * Model[[#This Row],[Vgnd_int]:[Vgnd_int]] / Model[[#This Row],[a_bar9]]</f>
        <v>312.29090160210279</v>
      </c>
      <c r="FM3" s="4" cm="1">
        <f t="array" ref="FM3">Model[[#This Row],[Vgnd_bar10]] * Model[[#This Row],[Vgnd_int]:[Vgnd_int]] / Model[[#This Row],[a_bar10]]</f>
        <v>408.91593504728792</v>
      </c>
      <c r="FN3" s="5">
        <f>SUM(Model[[#This Row],[inc1]:[inc10]])</f>
        <v>1505.0116899497202</v>
      </c>
      <c r="FO3" s="16">
        <f>Model[[#This Row],[todr_cal_air]]</f>
        <v>78.9022296705716</v>
      </c>
      <c r="FP3" s="5">
        <f>(Model[[#This Row],[todr_sim_gnd]] + Model[[#This Row],[todr_sim_air]]) * (tod_mul-1)</f>
        <v>237.58708794304363</v>
      </c>
      <c r="FQ3" s="5">
        <f>SUM(Model[[#This Row],[todr_sim_gnd]:[todr_sim_reg]])</f>
        <v>1821.5010075633354</v>
      </c>
      <c r="FR3" s="5">
        <f>Model[[#This Row],[todr_cal]] - Model[[#This Row],[todr_cal_reg]] - Model[[#This Row],[todr_cal_air]]</f>
        <v>1505.0108138076894</v>
      </c>
      <c r="FS3" s="16">
        <f>screen_height * SIN((90 - climb_angle) * PI() / 180) / SIN(climb_angle * PI() / 180) * ft_to_m</f>
        <v>78.9022296705716</v>
      </c>
      <c r="FT3" s="5">
        <f>Model[[#This Row],[todr_cal]] - Model[[#This Row],[todr_cal]] / tod_mul</f>
        <v>237.58695652173901</v>
      </c>
      <c r="FU3" s="5" cm="1">
        <f t="array" ref="FU3">_xlfn.XLOOKUP(Model[[#This Row],[type]] &amp; Model[[#This Row],[m]], Calibration[type] &amp;  Calibration[m], Calibration[todr_cal])</f>
        <v>1821.5</v>
      </c>
      <c r="FV3" s="3">
        <f>ABS(Model[[#This Row],[todr_sim]] - Model[[#This Row],[todr_cal]])</f>
        <v>1.0075633354063029E-3</v>
      </c>
      <c r="FW3" s="6">
        <f>Model[[#This Row],[diff_m]] / Model[[#This Row],[todr_cal]]</f>
        <v>5.5315033511188744E-7</v>
      </c>
      <c r="FX3"/>
      <c r="FY3"/>
      <c r="FZ3"/>
      <c r="GA3"/>
      <c r="GB3"/>
      <c r="GC3"/>
    </row>
    <row r="4" spans="1:185" x14ac:dyDescent="0.25">
      <c r="A4" s="2" t="s">
        <v>141</v>
      </c>
      <c r="B4" s="2" t="s">
        <v>224</v>
      </c>
      <c r="C4" s="2" t="s">
        <v>225</v>
      </c>
      <c r="D4" s="5">
        <v>2</v>
      </c>
      <c r="E4" s="5">
        <v>379000</v>
      </c>
      <c r="F4" s="15" cm="1">
        <f t="array" ref="F4">MAX(IF(Calibration[type] = Model[[#This Row],[type]], Calibration[m]))</f>
        <v>275000</v>
      </c>
      <c r="G4" s="5">
        <v>442</v>
      </c>
      <c r="H4" s="16">
        <v>9.01</v>
      </c>
      <c r="I4" s="16">
        <v>64.75</v>
      </c>
      <c r="J4" s="16">
        <v>2.1999999999999999E-2</v>
      </c>
      <c r="K4" s="16">
        <v>4.2999999999999997E-2</v>
      </c>
      <c r="L4" s="16">
        <v>0.78300000000000003</v>
      </c>
      <c r="M4" s="16">
        <v>0.9</v>
      </c>
      <c r="N4" s="16">
        <v>0.15</v>
      </c>
      <c r="O4" s="16">
        <v>0.15</v>
      </c>
      <c r="P4" s="5" cm="1">
        <f t="array" ref="P4">MIN(IF(Calibration[type] = Model[[#This Row],[type]], Calibration[m]))</f>
        <v>164500</v>
      </c>
      <c r="Q4" s="49">
        <v>164500</v>
      </c>
      <c r="R4" s="5">
        <f>Model[[#This Row],[m]] * g</f>
        <v>1613196.3925000001</v>
      </c>
      <c r="S4" s="5">
        <f>Model[[#This Row],[S_clean]] * Model[[#This Row],[SfS]]</f>
        <v>66.3</v>
      </c>
      <c r="T4" s="5">
        <f>IF(WingArea = "Incl. flaps", SUM(Model[[#This Row],[S_clean]], Model[[#This Row],[S_flaps]]), Model[[#This Row],[S_clean]])</f>
        <v>442</v>
      </c>
      <c r="U4" s="14">
        <f>Model[[#This Row],[lambda_f]] * POWER(Model[[#This Row],[cfc]], 1.38) * Model[[#This Row],[SfS]] * IF(flap_unit = "Degrees", POWER(SIN(flap_angle), 2), POWER(SIN(flap_angle * PI() / 180), 2))</f>
        <v>2.9694783688938824E-4</v>
      </c>
      <c r="V4" s="13">
        <f>Model[[#This Row],[W]] / Model[[#This Row],[S_total]] * k_gear * POWER(Model[[#This Row],[maxtom]], -0.215)</f>
        <v>1.1093147423540685E-2</v>
      </c>
      <c r="W4" s="13">
        <f>SUM(Model[[#This Row],[cD0_clean]], Model[[#This Row],[cD0_flaps]], Model[[#This Row],[cD0_gear]])</f>
        <v>3.3390095260430075E-2</v>
      </c>
      <c r="X4" s="50">
        <v>0.88217513939771286</v>
      </c>
      <c r="Y4" s="3">
        <f>POWER(Model[[#This Row],[span]], 2) / Model[[#This Row],[S_total]]</f>
        <v>9.4854355203619907</v>
      </c>
      <c r="Z4" s="11">
        <f t="shared" si="3"/>
        <v>2.5999999999999999E-2</v>
      </c>
      <c r="AA4" s="11">
        <f>0.783+Model[[#This Row],[e_flaps]]</f>
        <v>0.80900000000000005</v>
      </c>
      <c r="AB4" s="11">
        <f>1 / (1 / Model[[#This Row],[k_clean]] + PI() * Model[[#This Row],[ar]] * Model[[#This Row],[e_flaps]])</f>
        <v>4.1613613312044384E-2</v>
      </c>
      <c r="AC4" s="11">
        <f>Model[[#This Row],[k_total]] * POWER(Model[[#This Row],[cL]], 2)</f>
        <v>3.2385086153722459E-2</v>
      </c>
      <c r="AD4" s="11">
        <f>(Model[[#This Row],[cD0_total]] + Model[[#This Row],[cDi]])</f>
        <v>6.5775181414152534E-2</v>
      </c>
      <c r="AE4" s="11">
        <f>Model[[#This Row],[cD]] - mu * Model[[#This Row],[cL]]</f>
        <v>4.8131678626198271E-2</v>
      </c>
      <c r="AF4" s="3">
        <f>Model[[#This Row],[cL]] / Model[[#This Row],[cD]]</f>
        <v>13.411975770056932</v>
      </c>
      <c r="AG4" s="31">
        <f>SQRT(Model[[#This Row],[W]] / (0.5 * rho * Model[[#This Row],[S_total]] * Model[[#This Row],[cL]])) * Vs_to_Vlof</f>
        <v>90.405471941119444</v>
      </c>
      <c r="AH4" s="31">
        <v>0</v>
      </c>
      <c r="AI4" s="31" cm="1">
        <f t="array" ref="AI4">Model[[#This Row],[Vtas1]] + Model[[#This Row],[Vlof]:[Vlof]] / 9</f>
        <v>10.045052437902161</v>
      </c>
      <c r="AJ4" s="31" cm="1">
        <f t="array" ref="AJ4">Model[[#This Row],[Vtas2]] + Model[[#This Row],[Vlof]:[Vlof]] / 9</f>
        <v>20.090104875804322</v>
      </c>
      <c r="AK4" s="31" cm="1">
        <f t="array" ref="AK4">Model[[#This Row],[Vtas3]] + Model[[#This Row],[Vlof]:[Vlof]] / 9</f>
        <v>30.135157313706483</v>
      </c>
      <c r="AL4" s="31" cm="1">
        <f t="array" ref="AL4">Model[[#This Row],[Vtas4]] + Model[[#This Row],[Vlof]:[Vlof]] / 9</f>
        <v>40.180209751608643</v>
      </c>
      <c r="AM4" s="31" cm="1">
        <f t="array" ref="AM4">Model[[#This Row],[Vtas5]] + Model[[#This Row],[Vlof]:[Vlof]] / 9</f>
        <v>50.225262189510801</v>
      </c>
      <c r="AN4" s="31" cm="1">
        <f t="array" ref="AN4">Model[[#This Row],[Vtas6]] + Model[[#This Row],[Vlof]:[Vlof]] / 9</f>
        <v>60.270314627412958</v>
      </c>
      <c r="AO4" s="31" cm="1">
        <f t="array" ref="AO4">Model[[#This Row],[Vtas7]] + Model[[#This Row],[Vlof]:[Vlof]] / 9</f>
        <v>70.315367065315115</v>
      </c>
      <c r="AP4" s="31" cm="1">
        <f t="array" ref="AP4">Model[[#This Row],[Vtas8]] + Model[[#This Row],[Vlof]:[Vlof]] / 9</f>
        <v>80.360419503217273</v>
      </c>
      <c r="AQ4" s="31" cm="1">
        <f t="array" ref="AQ4">Model[[#This Row],[Vtas9]] + Model[[#This Row],[Vlof]:[Vlof]] / 9</f>
        <v>90.40547194111943</v>
      </c>
      <c r="AR4" s="31">
        <v>0</v>
      </c>
      <c r="AS4" s="31" cm="1">
        <f t="array" ref="AS4">Model[[#This Row],[Vgnd1]] + Model[[#This Row],[Vlof]:[Vlof]] / 9</f>
        <v>10.045052437902161</v>
      </c>
      <c r="AT4" s="31" cm="1">
        <f t="array" ref="AT4">Model[[#This Row],[Vgnd2]] + Model[[#This Row],[Vlof]:[Vlof]] / 9</f>
        <v>20.090104875804322</v>
      </c>
      <c r="AU4" s="31" cm="1">
        <f t="array" ref="AU4">Model[[#This Row],[Vgnd3]] + Model[[#This Row],[Vlof]:[Vlof]] / 9</f>
        <v>30.135157313706483</v>
      </c>
      <c r="AV4" s="31" cm="1">
        <f t="array" ref="AV4">Model[[#This Row],[Vgnd4]] + Model[[#This Row],[Vlof]:[Vlof]] / 9</f>
        <v>40.180209751608643</v>
      </c>
      <c r="AW4" s="31" cm="1">
        <f t="array" ref="AW4">Model[[#This Row],[Vgnd5]] + Model[[#This Row],[Vlof]:[Vlof]] / 9</f>
        <v>50.225262189510801</v>
      </c>
      <c r="AX4" s="31" cm="1">
        <f t="array" ref="AX4">Model[[#This Row],[Vgnd6]] + Model[[#This Row],[Vlof]:[Vlof]] / 9</f>
        <v>60.270314627412958</v>
      </c>
      <c r="AY4" s="31" cm="1">
        <f t="array" ref="AY4">Model[[#This Row],[Vgnd7]] + Model[[#This Row],[Vlof]:[Vlof]] / 9</f>
        <v>70.315367065315115</v>
      </c>
      <c r="AZ4" s="31" cm="1">
        <f t="array" ref="AZ4">Model[[#This Row],[Vgnd8]] + Model[[#This Row],[Vlof]:[Vlof]] / 9</f>
        <v>80.360419503217273</v>
      </c>
      <c r="BA4" s="31" cm="1">
        <f t="array" ref="BA4">Model[[#This Row],[Vgnd9]] + Model[[#This Row],[Vlof]:[Vlof]] / 9</f>
        <v>90.40547194111943</v>
      </c>
      <c r="BB4" s="33">
        <f>Model[[#This Row],[Vtas1]] / Vsnd</f>
        <v>0</v>
      </c>
      <c r="BC4" s="33">
        <f>Model[[#This Row],[Vtas2]] / Vsnd</f>
        <v>3.0307332301708585E-2</v>
      </c>
      <c r="BD4" s="33">
        <f>Model[[#This Row],[Vtas3]] / Vsnd</f>
        <v>6.0614664603417169E-2</v>
      </c>
      <c r="BE4" s="33">
        <f>Model[[#This Row],[Vtas4]] / Vsnd</f>
        <v>9.0921996905125757E-2</v>
      </c>
      <c r="BF4" s="33">
        <f>Model[[#This Row],[Vtas5]] / Vsnd</f>
        <v>0.12122932920683434</v>
      </c>
      <c r="BG4" s="33">
        <f>Model[[#This Row],[Vtas6]] / Vsnd</f>
        <v>0.15153666150854292</v>
      </c>
      <c r="BH4" s="33">
        <f>Model[[#This Row],[Vtas7]] / Vsnd</f>
        <v>0.18184399381025149</v>
      </c>
      <c r="BI4" s="33">
        <f>Model[[#This Row],[Vtas8]] / Vsnd</f>
        <v>0.21215132611196008</v>
      </c>
      <c r="BJ4" s="33">
        <f>Model[[#This Row],[Vtas9]] / Vsnd</f>
        <v>0.24245865841366865</v>
      </c>
      <c r="BK4" s="33">
        <f>Model[[#This Row],[Vtas10]] / Vsnd</f>
        <v>0.27276599071537722</v>
      </c>
      <c r="BL4" s="32">
        <f>0.5 * rho * POWER(Model[[#This Row],[Vtas1]], 2)</f>
        <v>0</v>
      </c>
      <c r="BM4" s="32">
        <f>0.5 * rho * POWER(Model[[#This Row],[Vtas2]], 2)</f>
        <v>61.80313556912504</v>
      </c>
      <c r="BN4" s="32">
        <f>0.5 * rho * POWER(Model[[#This Row],[Vtas3]], 2)</f>
        <v>247.21254227650016</v>
      </c>
      <c r="BO4" s="32">
        <f>0.5 * rho * POWER(Model[[#This Row],[Vtas4]], 2)</f>
        <v>556.22822012212544</v>
      </c>
      <c r="BP4" s="32">
        <f>0.5 * rho * POWER(Model[[#This Row],[Vtas5]], 2)</f>
        <v>988.85016910600064</v>
      </c>
      <c r="BQ4" s="32">
        <f>0.5 * rho * POWER(Model[[#This Row],[Vtas6]], 2)</f>
        <v>1545.0783892281258</v>
      </c>
      <c r="BR4" s="32">
        <f>0.5 * rho * POWER(Model[[#This Row],[Vtas7]], 2)</f>
        <v>2224.9128804885008</v>
      </c>
      <c r="BS4" s="32">
        <f>0.5 * rho * POWER(Model[[#This Row],[Vtas8]], 2)</f>
        <v>3028.3536428871262</v>
      </c>
      <c r="BT4" s="32">
        <f>0.5 * rho * POWER(Model[[#This Row],[Vtas9]], 2)</f>
        <v>3955.4006764240016</v>
      </c>
      <c r="BU4" s="32">
        <f>0.5 * rho * POWER(Model[[#This Row],[Vtas10]], 2)</f>
        <v>5006.0539810991268</v>
      </c>
      <c r="BV4" s="3">
        <f>0.0606 * Model[[#This Row],[bpr]]  + 0.6337</f>
        <v>1.1797059999999999</v>
      </c>
      <c r="BW4" s="3">
        <f t="shared" si="0"/>
        <v>1</v>
      </c>
      <c r="BX4" s="3">
        <f t="shared" si="1"/>
        <v>1.0005999999999999</v>
      </c>
      <c r="BY4" s="3">
        <f t="shared" si="2"/>
        <v>1.0066999999999999</v>
      </c>
      <c r="BZ4" s="4" cm="1">
        <f t="array" ref="BZ4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4" s="4" cm="1">
        <f t="array" ref="CA4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0.96413380311890684</v>
      </c>
      <c r="CB4" s="4" cm="1">
        <f t="array" ref="CB4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0.92973872498271271</v>
      </c>
      <c r="CC4" s="4" cm="1">
        <f t="array" ref="CC4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0.89681476559141782</v>
      </c>
      <c r="CD4" s="4" cm="1">
        <f t="array" ref="CD4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0.86536192494502207</v>
      </c>
      <c r="CE4" s="4" cm="1">
        <f t="array" ref="CE4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0.83538020304352556</v>
      </c>
      <c r="CF4" s="4" cm="1">
        <f t="array" ref="CF4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0.80686959988692819</v>
      </c>
      <c r="CG4" s="4" cm="1">
        <f t="array" ref="CG4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0.77983011547522985</v>
      </c>
      <c r="CH4" s="4" cm="1">
        <f t="array" ref="CH4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0.75426174980843086</v>
      </c>
      <c r="CI4" s="4" cm="1">
        <f t="array" ref="CI4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0.73016450288653079</v>
      </c>
      <c r="CJ4" s="32" cm="1">
        <f t="array" ref="CJ4">Model[[#This Row],[tr1]] * Model[[#This Row],[slst]:[slst]] * n</f>
        <v>758000</v>
      </c>
      <c r="CK4" s="32" cm="1">
        <f t="array" ref="CK4">Model[[#This Row],[tr2]] * Model[[#This Row],[slst]:[slst]] * n</f>
        <v>730813.42276413133</v>
      </c>
      <c r="CL4" s="32" cm="1">
        <f t="array" ref="CL4">Model[[#This Row],[tr3]] * Model[[#This Row],[slst]:[slst]] * n</f>
        <v>704741.95353689627</v>
      </c>
      <c r="CM4" s="32" cm="1">
        <f t="array" ref="CM4">Model[[#This Row],[tr4]] * Model[[#This Row],[slst]:[slst]] * n</f>
        <v>679785.59231829469</v>
      </c>
      <c r="CN4" s="32" cm="1">
        <f t="array" ref="CN4">Model[[#This Row],[tr5]] * Model[[#This Row],[slst]:[slst]] * n</f>
        <v>655944.33910832671</v>
      </c>
      <c r="CO4" s="32" cm="1">
        <f t="array" ref="CO4">Model[[#This Row],[tr6]] * Model[[#This Row],[slst]:[slst]] * n</f>
        <v>633218.19390699232</v>
      </c>
      <c r="CP4" s="32" cm="1">
        <f t="array" ref="CP4">Model[[#This Row],[tr7]] * Model[[#This Row],[slst]:[slst]] * n</f>
        <v>611607.15671429154</v>
      </c>
      <c r="CQ4" s="32" cm="1">
        <f t="array" ref="CQ4">Model[[#This Row],[tr8]] * Model[[#This Row],[slst]:[slst]] * n</f>
        <v>591111.22753022425</v>
      </c>
      <c r="CR4" s="32" cm="1">
        <f t="array" ref="CR4">Model[[#This Row],[tr9]] * Model[[#This Row],[slst]:[slst]] * n</f>
        <v>571730.40635479055</v>
      </c>
      <c r="CS4" s="32" cm="1">
        <f t="array" ref="CS4">Model[[#This Row],[tr10]] * Model[[#This Row],[slst]:[slst]] * n</f>
        <v>553464.69318799034</v>
      </c>
      <c r="CT4" s="32">
        <f>Model[[#This Row],[Fmax1]] * (100 - rto) / 100</f>
        <v>758000</v>
      </c>
      <c r="CU4" s="32">
        <f>Model[[#This Row],[Fmax2]] * (100 - rto) / 100</f>
        <v>730813.42276413133</v>
      </c>
      <c r="CV4" s="32">
        <f>Model[[#This Row],[Fmax3]] * (100 - rto) / 100</f>
        <v>704741.95353689627</v>
      </c>
      <c r="CW4" s="32">
        <f>Model[[#This Row],[Fmax4]] * (100 - rto) / 100</f>
        <v>679785.59231829469</v>
      </c>
      <c r="CX4" s="32">
        <f>Model[[#This Row],[Fmax5]] * (100 - rto) / 100</f>
        <v>655944.33910832671</v>
      </c>
      <c r="CY4" s="32">
        <f>Model[[#This Row],[Fmax6]] * (100 - rto) / 100</f>
        <v>633218.19390699232</v>
      </c>
      <c r="CZ4" s="32">
        <f>Model[[#This Row],[Fmax7]] * (100 - rto) / 100</f>
        <v>611607.15671429154</v>
      </c>
      <c r="DA4" s="32">
        <f>Model[[#This Row],[Fmax8]] * (100 - rto) / 100</f>
        <v>591111.22753022425</v>
      </c>
      <c r="DB4" s="32">
        <f>Model[[#This Row],[Fmax9]] * (100 - rto) / 100</f>
        <v>571730.40635479055</v>
      </c>
      <c r="DC4" s="32">
        <f>Model[[#This Row],[Fmax10]] * (100 - rto) / 100</f>
        <v>553464.69318799034</v>
      </c>
      <c r="DD4" s="32" cm="1">
        <f t="array" ref="DD4">Model[[#This Row],[cL]:[cL]] * 0.5 * rho * POWER(Model[[#This Row],[Vtas1]], 2) * Model[[#This Row],[S_total]:[S_total]]</f>
        <v>0</v>
      </c>
      <c r="DE4" s="32" cm="1">
        <f t="array" ref="DE4">Model[[#This Row],[cL]:[cL]] * 0.5 * rho * POWER(Model[[#This Row],[Vtas2]], 2) * Model[[#This Row],[S_total]:[S_total]]</f>
        <v>24098.365863271618</v>
      </c>
      <c r="DF4" s="32" cm="1">
        <f t="array" ref="DF4">Model[[#This Row],[cL]:[cL]] * 0.5 * rho * POWER(Model[[#This Row],[Vtas3]], 2) * Model[[#This Row],[S_total]:[S_total]]</f>
        <v>96393.463453086471</v>
      </c>
      <c r="DG4" s="32" cm="1">
        <f t="array" ref="DG4">Model[[#This Row],[cL]:[cL]] * 0.5 * rho * POWER(Model[[#This Row],[Vtas4]], 2) * Model[[#This Row],[S_total]:[S_total]]</f>
        <v>216885.29276944455</v>
      </c>
      <c r="DH4" s="32" cm="1">
        <f t="array" ref="DH4">Model[[#This Row],[cL]:[cL]] * 0.5 * rho * POWER(Model[[#This Row],[Vtas5]], 2) * Model[[#This Row],[S_total]:[S_total]]</f>
        <v>385573.85381234589</v>
      </c>
      <c r="DI4" s="32" cm="1">
        <f t="array" ref="DI4">Model[[#This Row],[cL]:[cL]] * 0.5 * rho * POWER(Model[[#This Row],[Vtas6]], 2) * Model[[#This Row],[S_total]:[S_total]]</f>
        <v>602459.14658179029</v>
      </c>
      <c r="DJ4" s="32" cm="1">
        <f t="array" ref="DJ4">Model[[#This Row],[cL]:[cL]] * 0.5 * rho * POWER(Model[[#This Row],[Vtas7]], 2) * Model[[#This Row],[S_total]:[S_total]]</f>
        <v>867541.17107777798</v>
      </c>
      <c r="DK4" s="32" cm="1">
        <f t="array" ref="DK4">Model[[#This Row],[cL]:[cL]] * 0.5 * rho * POWER(Model[[#This Row],[Vtas8]], 2) * Model[[#This Row],[S_total]:[S_total]]</f>
        <v>1180819.9273003086</v>
      </c>
      <c r="DL4" s="32" cm="1">
        <f t="array" ref="DL4">Model[[#This Row],[cL]:[cL]] * 0.5 * rho * POWER(Model[[#This Row],[Vtas9]], 2) * Model[[#This Row],[S_total]:[S_total]]</f>
        <v>1542295.4152493831</v>
      </c>
      <c r="DM4" s="32" cm="1">
        <f t="array" ref="DM4">Model[[#This Row],[cL]:[cL]] * 0.5 * rho * POWER(Model[[#This Row],[Vtas10]], 2) * Model[[#This Row],[S_total]:[S_total]]</f>
        <v>1951967.6349250001</v>
      </c>
      <c r="DN4" s="32" cm="1">
        <f t="array" ref="DN4">Model[[#This Row],[cD]:[cD]] * 0.5 * rho * POWER(Model[[#This Row],[Vtas1]], 2) * Model[[#This Row],[S_total]:[S_total]]</f>
        <v>0</v>
      </c>
      <c r="DO4" s="32" cm="1">
        <f t="array" ref="DO4">Model[[#This Row],[cD]:[cD]] * 0.5 * rho * POWER(Model[[#This Row],[Vtas2]], 2) * Model[[#This Row],[S_total]:[S_total]]</f>
        <v>1796.779704678017</v>
      </c>
      <c r="DP4" s="32" cm="1">
        <f t="array" ref="DP4">Model[[#This Row],[cD]:[cD]] * 0.5 * rho * POWER(Model[[#This Row],[Vtas3]], 2) * Model[[#This Row],[S_total]:[S_total]]</f>
        <v>7187.1188187120679</v>
      </c>
      <c r="DQ4" s="32" cm="1">
        <f t="array" ref="DQ4">Model[[#This Row],[cD]:[cD]] * 0.5 * rho * POWER(Model[[#This Row],[Vtas4]], 2) * Model[[#This Row],[S_total]:[S_total]]</f>
        <v>16171.017342102152</v>
      </c>
      <c r="DR4" s="32" cm="1">
        <f t="array" ref="DR4">Model[[#This Row],[cD]:[cD]] * 0.5 * rho * POWER(Model[[#This Row],[Vtas5]], 2) * Model[[#This Row],[S_total]:[S_total]]</f>
        <v>28748.475274848272</v>
      </c>
      <c r="DS4" s="32" cm="1">
        <f t="array" ref="DS4">Model[[#This Row],[cD]:[cD]] * 0.5 * rho * POWER(Model[[#This Row],[Vtas6]], 2) * Model[[#This Row],[S_total]:[S_total]]</f>
        <v>44919.492616950418</v>
      </c>
      <c r="DT4" s="32" cm="1">
        <f t="array" ref="DT4">Model[[#This Row],[cD]:[cD]] * 0.5 * rho * POWER(Model[[#This Row],[Vtas7]], 2) * Model[[#This Row],[S_total]:[S_total]]</f>
        <v>64684.0693684086</v>
      </c>
      <c r="DU4" s="32" cm="1">
        <f t="array" ref="DU4">Model[[#This Row],[cD]:[cD]] * 0.5 * rho * POWER(Model[[#This Row],[Vtas8]], 2) * Model[[#This Row],[S_total]:[S_total]]</f>
        <v>88042.205529222803</v>
      </c>
      <c r="DV4" s="32" cm="1">
        <f t="array" ref="DV4">Model[[#This Row],[cD]:[cD]] * 0.5 * rho * POWER(Model[[#This Row],[Vtas9]], 2) * Model[[#This Row],[S_total]:[S_total]]</f>
        <v>114993.90109939304</v>
      </c>
      <c r="DW4" s="32" cm="1">
        <f t="array" ref="DW4">Model[[#This Row],[cD]:[cD]] * 0.5 * rho * POWER(Model[[#This Row],[Vtas10]], 2) * Model[[#This Row],[S_total]:[S_total]]</f>
        <v>145539.1560789193</v>
      </c>
      <c r="DX4" s="4" cm="1">
        <f t="array" ref="DX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4.4117694355623103</v>
      </c>
      <c r="DY4" s="4" cm="1">
        <f t="array" ref="DY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4.2385087083691113</v>
      </c>
      <c r="DZ4" s="4" cm="1">
        <f t="array" ref="DZ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4.0560411923236837</v>
      </c>
      <c r="EA4" s="4" cm="1">
        <f t="array" ref="EA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3.8643668874260273</v>
      </c>
      <c r="EB4" s="4" cm="1">
        <f t="array" ref="EB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3.6634857936761422</v>
      </c>
      <c r="EC4" s="4" cm="1">
        <f t="array" ref="EC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3.4533979110740285</v>
      </c>
      <c r="ED4" s="4" cm="1">
        <f t="array" ref="ED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3.2341032396196869</v>
      </c>
      <c r="EE4" s="4" cm="1">
        <f t="array" ref="EE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3.0056017793131167</v>
      </c>
      <c r="EF4" s="4" cm="1">
        <f t="array" ref="EF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2.7678935301543173</v>
      </c>
      <c r="EG4" s="4" cm="1">
        <f t="array" ref="EG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2.5209784921432892</v>
      </c>
      <c r="EH4" s="12">
        <f>(Model[[#This Row],[a1]] - Model[[#This Row],[a10]]) / Model[[#This Row],[a1]]</f>
        <v>0.42857882104576184</v>
      </c>
      <c r="EI4" s="4">
        <f>AVERAGE(Model[[#This Row],[a1]], Model[[#This Row],[a1]])</f>
        <v>4.4117694355623103</v>
      </c>
      <c r="EJ4" s="4">
        <f>AVERAGE(Model[[#This Row],[a1]], Model[[#This Row],[a2]])</f>
        <v>4.3251390719657108</v>
      </c>
      <c r="EK4" s="4">
        <f>AVERAGE(Model[[#This Row],[a2]], Model[[#This Row],[a3]])</f>
        <v>4.1472749503463975</v>
      </c>
      <c r="EL4" s="4">
        <f>AVERAGE(Model[[#This Row],[a3]], Model[[#This Row],[a4]])</f>
        <v>3.9602040398748555</v>
      </c>
      <c r="EM4" s="4">
        <f>AVERAGE(Model[[#This Row],[a4]], Model[[#This Row],[a5]])</f>
        <v>3.7639263405510848</v>
      </c>
      <c r="EN4" s="4">
        <f>AVERAGE(Model[[#This Row],[a5]], Model[[#This Row],[a6]])</f>
        <v>3.5584418523750854</v>
      </c>
      <c r="EO4" s="4">
        <f>AVERAGE(Model[[#This Row],[a6]], Model[[#This Row],[a7]])</f>
        <v>3.3437505753468577</v>
      </c>
      <c r="EP4" s="4">
        <f>AVERAGE(Model[[#This Row],[a7]], Model[[#This Row],[a8]])</f>
        <v>3.1198525094664018</v>
      </c>
      <c r="EQ4" s="4">
        <f>AVERAGE(Model[[#This Row],[a8]], Model[[#This Row],[a9]])</f>
        <v>2.8867476547337168</v>
      </c>
      <c r="ER4" s="4">
        <f>AVERAGE(Model[[#This Row],[a9]], Model[[#This Row],[a10]])</f>
        <v>2.6444360111488034</v>
      </c>
      <c r="ES4" s="4">
        <f>AVERAGE(Model[[#This Row],[Vgnd1]], Model[[#This Row],[Vgnd1]])</f>
        <v>0</v>
      </c>
      <c r="ET4" s="4">
        <f>AVERAGE(Model[[#This Row],[Vgnd1]], Model[[#This Row],[Vgnd2]])</f>
        <v>5.0225262189510804</v>
      </c>
      <c r="EU4" s="4">
        <f>AVERAGE(Model[[#This Row],[Vgnd2]], Model[[#This Row],[Vgnd3]])</f>
        <v>15.067578656853241</v>
      </c>
      <c r="EV4" s="4">
        <f>AVERAGE(Model[[#This Row],[Vgnd3]], Model[[#This Row],[Vgnd4]])</f>
        <v>25.1126310947554</v>
      </c>
      <c r="EW4" s="4">
        <f>AVERAGE(Model[[#This Row],[Vgnd4]], Model[[#This Row],[Vgnd5]])</f>
        <v>35.157683532657565</v>
      </c>
      <c r="EX4" s="4">
        <f>AVERAGE(Model[[#This Row],[Vgnd5]], Model[[#This Row],[Vgnd6]])</f>
        <v>45.202735970559722</v>
      </c>
      <c r="EY4" s="4">
        <f>AVERAGE(Model[[#This Row],[Vgnd6]], Model[[#This Row],[Vgnd7]])</f>
        <v>55.247788408461879</v>
      </c>
      <c r="EZ4" s="4">
        <f>AVERAGE(Model[[#This Row],[Vgnd7]], Model[[#This Row],[Vgnd8]])</f>
        <v>65.292840846364044</v>
      </c>
      <c r="FA4" s="4">
        <f>AVERAGE(Model[[#This Row],[Vgnd8]], Model[[#This Row],[Vgnd9]])</f>
        <v>75.337893284266187</v>
      </c>
      <c r="FB4" s="4">
        <f>AVERAGE(Model[[#This Row],[Vgnd9]], Model[[#This Row],[Vgnd10]])</f>
        <v>85.382945722168358</v>
      </c>
      <c r="FC4" s="4">
        <f>Model[[#This Row],[Vlof]] / 9</f>
        <v>10.045052437902161</v>
      </c>
      <c r="FD4" s="4" cm="1">
        <f t="array" ref="FD4">Model[[#This Row],[Vgnd_bar1]] * Model[[#This Row],[Vgnd_int]:[Vgnd_int]] / Model[[#This Row],[a_bar1]]</f>
        <v>0</v>
      </c>
      <c r="FE4" s="4" cm="1">
        <f t="array" ref="FE4">Model[[#This Row],[Vgnd_bar2]] * Model[[#This Row],[Vgnd_int]:[Vgnd_int]] / Model[[#This Row],[a_bar2]]</f>
        <v>11.664720694674127</v>
      </c>
      <c r="FF4" s="4" cm="1">
        <f t="array" ref="FF4">Model[[#This Row],[Vgnd_bar3]] * Model[[#This Row],[Vgnd_int]:[Vgnd_int]] / Model[[#This Row],[a_bar3]]</f>
        <v>36.49495621399889</v>
      </c>
      <c r="FG4" s="4" cm="1">
        <f t="array" ref="FG4">Model[[#This Row],[Vgnd_bar4]] * Model[[#This Row],[Vgnd_int]:[Vgnd_int]] / Model[[#This Row],[a_bar4]]</f>
        <v>63.698156372892797</v>
      </c>
      <c r="FH4" s="4" cm="1">
        <f t="array" ref="FH4">Model[[#This Row],[Vgnd_bar5]] * Model[[#This Row],[Vgnd_int]:[Vgnd_int]] / Model[[#This Row],[a_bar5]]</f>
        <v>93.827759293771805</v>
      </c>
      <c r="FI4" s="4" cm="1">
        <f t="array" ref="FI4">Model[[#This Row],[Vgnd_bar6]] * Model[[#This Row],[Vgnd_int]:[Vgnd_int]] / Model[[#This Row],[a_bar6]]</f>
        <v>127.6018752021628</v>
      </c>
      <c r="FJ4" s="4" cm="1">
        <f t="array" ref="FJ4">Model[[#This Row],[Vgnd_bar7]] * Model[[#This Row],[Vgnd_int]:[Vgnd_int]] / Model[[#This Row],[a_bar7]]</f>
        <v>165.97139025046874</v>
      </c>
      <c r="FK4" s="4" cm="1">
        <f t="array" ref="FK4">Model[[#This Row],[Vgnd_bar8]] * Model[[#This Row],[Vgnd_int]:[Vgnd_int]] / Model[[#This Row],[a_bar8]]</f>
        <v>210.22468470264397</v>
      </c>
      <c r="FL4" s="4" cm="1">
        <f t="array" ref="FL4">Model[[#This Row],[Vgnd_bar9]] * Model[[#This Row],[Vgnd_int]:[Vgnd_int]] / Model[[#This Row],[a_bar9]]</f>
        <v>262.15422306157137</v>
      </c>
      <c r="FM4" s="4" cm="1">
        <f t="array" ref="FM4">Model[[#This Row],[Vgnd_bar10]] * Model[[#This Row],[Vgnd_int]:[Vgnd_int]] / Model[[#This Row],[a_bar10]]</f>
        <v>324.33235800216659</v>
      </c>
      <c r="FN4" s="5">
        <f>SUM(Model[[#This Row],[inc1]:[inc10]])</f>
        <v>1295.9701237943511</v>
      </c>
      <c r="FO4" s="16">
        <f>Model[[#This Row],[todr_cal_air]]</f>
        <v>78.9022296705716</v>
      </c>
      <c r="FP4" s="5">
        <f>(Model[[#This Row],[todr_sim_gnd]] + Model[[#This Row],[todr_sim_air]]) * (tod_mul-1)</f>
        <v>206.2308530197383</v>
      </c>
      <c r="FQ4" s="5">
        <f>SUM(Model[[#This Row],[todr_sim_gnd]:[todr_sim_reg]])</f>
        <v>1581.1032064846611</v>
      </c>
      <c r="FR4" s="5">
        <f>Model[[#This Row],[todr_cal]] - Model[[#This Row],[todr_cal_reg]] - Model[[#This Row],[todr_cal_air]]</f>
        <v>1295.9673355468196</v>
      </c>
      <c r="FS4" s="16">
        <f>screen_height * SIN((90 - climb_angle) * PI() / 180) / SIN(climb_angle * PI() / 180) * ft_to_m</f>
        <v>78.9022296705716</v>
      </c>
      <c r="FT4" s="5">
        <f>Model[[#This Row],[todr_cal]] - Model[[#This Row],[todr_cal]] / tod_mul</f>
        <v>206.23043478260865</v>
      </c>
      <c r="FU4" s="5" cm="1">
        <f t="array" ref="FU4">_xlfn.XLOOKUP(Model[[#This Row],[type]] &amp; Model[[#This Row],[m]], Calibration[type] &amp;  Calibration[m], Calibration[todr_cal])</f>
        <v>1581.1</v>
      </c>
      <c r="FV4" s="3">
        <f>ABS(Model[[#This Row],[todr_sim]] - Model[[#This Row],[todr_cal]])</f>
        <v>3.2064846611774556E-3</v>
      </c>
      <c r="FW4" s="6">
        <f>Model[[#This Row],[diff_m]] / Model[[#This Row],[todr_cal]]</f>
        <v>2.0280087667936598E-6</v>
      </c>
      <c r="FX4"/>
      <c r="FY4"/>
      <c r="FZ4"/>
      <c r="GA4"/>
      <c r="GB4"/>
      <c r="GC4"/>
    </row>
    <row r="5" spans="1:185" x14ac:dyDescent="0.25">
      <c r="A5" s="2" t="s">
        <v>141</v>
      </c>
      <c r="B5" s="2" t="s">
        <v>224</v>
      </c>
      <c r="C5" s="2" t="s">
        <v>225</v>
      </c>
      <c r="D5" s="5">
        <v>2</v>
      </c>
      <c r="E5" s="5">
        <v>379000</v>
      </c>
      <c r="F5" s="15" cm="1">
        <f t="array" ref="F5">MAX(IF(Calibration[type] = Model[[#This Row],[type]], Calibration[m]))</f>
        <v>275000</v>
      </c>
      <c r="G5" s="5">
        <v>442</v>
      </c>
      <c r="H5" s="16">
        <v>9.01</v>
      </c>
      <c r="I5" s="16">
        <v>64.75</v>
      </c>
      <c r="J5" s="16">
        <v>2.1999999999999999E-2</v>
      </c>
      <c r="K5" s="16">
        <v>4.2999999999999997E-2</v>
      </c>
      <c r="L5" s="16">
        <v>0.78300000000000003</v>
      </c>
      <c r="M5" s="16">
        <v>0.9</v>
      </c>
      <c r="N5" s="16">
        <v>0.15</v>
      </c>
      <c r="O5" s="16">
        <v>0.15</v>
      </c>
      <c r="P5" s="5" cm="1">
        <f t="array" ref="P5">MIN(IF(Calibration[type] = Model[[#This Row],[type]], Calibration[m]))</f>
        <v>164500</v>
      </c>
      <c r="Q5" s="5">
        <v>275000</v>
      </c>
      <c r="R5" s="5">
        <f>Model[[#This Row],[m]] * g</f>
        <v>2696832.875</v>
      </c>
      <c r="S5" s="5">
        <f>Model[[#This Row],[S_clean]] * Model[[#This Row],[SfS]]</f>
        <v>66.3</v>
      </c>
      <c r="T5" s="5">
        <f>IF(WingArea = "Incl. flaps", SUM(Model[[#This Row],[S_clean]], Model[[#This Row],[S_flaps]]), Model[[#This Row],[S_clean]])</f>
        <v>442</v>
      </c>
      <c r="U5" s="14">
        <f>Model[[#This Row],[lambda_f]] * POWER(Model[[#This Row],[cfc]], 1.38) * Model[[#This Row],[SfS]] * IF(flap_unit = "Degrees", POWER(SIN(flap_angle), 2), POWER(SIN(flap_angle * PI() / 180), 2))</f>
        <v>2.9694783688938824E-4</v>
      </c>
      <c r="V5" s="13">
        <f>Model[[#This Row],[W]] / Model[[#This Row],[S_total]] * k_gear * POWER(Model[[#This Row],[maxtom]], -0.215)</f>
        <v>1.8544775328107523E-2</v>
      </c>
      <c r="W5" s="13">
        <f>SUM(Model[[#This Row],[cD0_clean]], Model[[#This Row],[cD0_flaps]], Model[[#This Row],[cD0_gear]])</f>
        <v>4.0841723164996915E-2</v>
      </c>
      <c r="X5" s="50">
        <v>1.7325795228322998</v>
      </c>
      <c r="Y5" s="3">
        <f>POWER(Model[[#This Row],[span]], 2) / Model[[#This Row],[S_total]]</f>
        <v>9.4854355203619907</v>
      </c>
      <c r="Z5" s="11">
        <f t="shared" si="3"/>
        <v>2.5999999999999999E-2</v>
      </c>
      <c r="AA5" s="11">
        <f>0.783+Model[[#This Row],[e_flaps]]</f>
        <v>0.80900000000000005</v>
      </c>
      <c r="AB5" s="11">
        <f>1 / (1 / Model[[#This Row],[k_clean]] + PI() * Model[[#This Row],[ar]] * Model[[#This Row],[e_flaps]])</f>
        <v>4.1613613312044384E-2</v>
      </c>
      <c r="AC5" s="11">
        <f>Model[[#This Row],[k_total]] * POWER(Model[[#This Row],[cL]], 2)</f>
        <v>0.1249170678752506</v>
      </c>
      <c r="AD5" s="11">
        <f>(Model[[#This Row],[cD0_total]] + Model[[#This Row],[cDi]])</f>
        <v>0.16575879104024752</v>
      </c>
      <c r="AE5" s="11">
        <f>Model[[#This Row],[cD]] - mu * Model[[#This Row],[cL]]</f>
        <v>0.13110720058360154</v>
      </c>
      <c r="AF5" s="3">
        <f>Model[[#This Row],[cL]] / Model[[#This Row],[cD]]</f>
        <v>10.45241408892525</v>
      </c>
      <c r="AG5" s="31">
        <f>SQRT(Model[[#This Row],[W]] / (0.5 * rho * Model[[#This Row],[S_total]] * Model[[#This Row],[cL]])) * Vs_to_Vlof</f>
        <v>83.408235193832368</v>
      </c>
      <c r="AH5" s="31">
        <v>0</v>
      </c>
      <c r="AI5" s="31" cm="1">
        <f t="array" ref="AI5">Model[[#This Row],[Vtas1]] + Model[[#This Row],[Vlof]:[Vlof]] / 9</f>
        <v>9.2675816882035971</v>
      </c>
      <c r="AJ5" s="31" cm="1">
        <f t="array" ref="AJ5">Model[[#This Row],[Vtas2]] + Model[[#This Row],[Vlof]:[Vlof]] / 9</f>
        <v>18.535163376407194</v>
      </c>
      <c r="AK5" s="31" cm="1">
        <f t="array" ref="AK5">Model[[#This Row],[Vtas3]] + Model[[#This Row],[Vlof]:[Vlof]] / 9</f>
        <v>27.802745064610789</v>
      </c>
      <c r="AL5" s="31" cm="1">
        <f t="array" ref="AL5">Model[[#This Row],[Vtas4]] + Model[[#This Row],[Vlof]:[Vlof]] / 9</f>
        <v>37.070326752814388</v>
      </c>
      <c r="AM5" s="31" cm="1">
        <f t="array" ref="AM5">Model[[#This Row],[Vtas5]] + Model[[#This Row],[Vlof]:[Vlof]] / 9</f>
        <v>46.337908441017987</v>
      </c>
      <c r="AN5" s="31" cm="1">
        <f t="array" ref="AN5">Model[[#This Row],[Vtas6]] + Model[[#This Row],[Vlof]:[Vlof]] / 9</f>
        <v>55.605490129221586</v>
      </c>
      <c r="AO5" s="31" cm="1">
        <f t="array" ref="AO5">Model[[#This Row],[Vtas7]] + Model[[#This Row],[Vlof]:[Vlof]] / 9</f>
        <v>64.873071817425185</v>
      </c>
      <c r="AP5" s="31" cm="1">
        <f t="array" ref="AP5">Model[[#This Row],[Vtas8]] + Model[[#This Row],[Vlof]:[Vlof]] / 9</f>
        <v>74.140653505628777</v>
      </c>
      <c r="AQ5" s="31" cm="1">
        <f t="array" ref="AQ5">Model[[#This Row],[Vtas9]] + Model[[#This Row],[Vlof]:[Vlof]] / 9</f>
        <v>83.408235193832368</v>
      </c>
      <c r="AR5" s="31">
        <v>0</v>
      </c>
      <c r="AS5" s="31" cm="1">
        <f t="array" ref="AS5">Model[[#This Row],[Vgnd1]] + Model[[#This Row],[Vlof]:[Vlof]] / 9</f>
        <v>9.2675816882035971</v>
      </c>
      <c r="AT5" s="31" cm="1">
        <f t="array" ref="AT5">Model[[#This Row],[Vgnd2]] + Model[[#This Row],[Vlof]:[Vlof]] / 9</f>
        <v>18.535163376407194</v>
      </c>
      <c r="AU5" s="31" cm="1">
        <f t="array" ref="AU5">Model[[#This Row],[Vgnd3]] + Model[[#This Row],[Vlof]:[Vlof]] / 9</f>
        <v>27.802745064610789</v>
      </c>
      <c r="AV5" s="31" cm="1">
        <f t="array" ref="AV5">Model[[#This Row],[Vgnd4]] + Model[[#This Row],[Vlof]:[Vlof]] / 9</f>
        <v>37.070326752814388</v>
      </c>
      <c r="AW5" s="31" cm="1">
        <f t="array" ref="AW5">Model[[#This Row],[Vgnd5]] + Model[[#This Row],[Vlof]:[Vlof]] / 9</f>
        <v>46.337908441017987</v>
      </c>
      <c r="AX5" s="31" cm="1">
        <f t="array" ref="AX5">Model[[#This Row],[Vgnd6]] + Model[[#This Row],[Vlof]:[Vlof]] / 9</f>
        <v>55.605490129221586</v>
      </c>
      <c r="AY5" s="31" cm="1">
        <f t="array" ref="AY5">Model[[#This Row],[Vgnd7]] + Model[[#This Row],[Vlof]:[Vlof]] / 9</f>
        <v>64.873071817425185</v>
      </c>
      <c r="AZ5" s="31" cm="1">
        <f t="array" ref="AZ5">Model[[#This Row],[Vgnd8]] + Model[[#This Row],[Vlof]:[Vlof]] / 9</f>
        <v>74.140653505628777</v>
      </c>
      <c r="BA5" s="31" cm="1">
        <f t="array" ref="BA5">Model[[#This Row],[Vgnd9]] + Model[[#This Row],[Vlof]:[Vlof]] / 9</f>
        <v>83.408235193832368</v>
      </c>
      <c r="BB5" s="33">
        <f>Model[[#This Row],[Vtas1]] / Vsnd</f>
        <v>0</v>
      </c>
      <c r="BC5" s="33">
        <f>Model[[#This Row],[Vtas2]] / Vsnd</f>
        <v>2.7961593988082237E-2</v>
      </c>
      <c r="BD5" s="33">
        <f>Model[[#This Row],[Vtas3]] / Vsnd</f>
        <v>5.5923187976164475E-2</v>
      </c>
      <c r="BE5" s="33">
        <f>Model[[#This Row],[Vtas4]] / Vsnd</f>
        <v>8.3884781964246702E-2</v>
      </c>
      <c r="BF5" s="33">
        <f>Model[[#This Row],[Vtas5]] / Vsnd</f>
        <v>0.11184637595232895</v>
      </c>
      <c r="BG5" s="33">
        <f>Model[[#This Row],[Vtas6]] / Vsnd</f>
        <v>0.1398079699404112</v>
      </c>
      <c r="BH5" s="33">
        <f>Model[[#This Row],[Vtas7]] / Vsnd</f>
        <v>0.16776956392849343</v>
      </c>
      <c r="BI5" s="33">
        <f>Model[[#This Row],[Vtas8]] / Vsnd</f>
        <v>0.19573115791657567</v>
      </c>
      <c r="BJ5" s="33">
        <f>Model[[#This Row],[Vtas9]] / Vsnd</f>
        <v>0.2236927519046579</v>
      </c>
      <c r="BK5" s="33">
        <f>Model[[#This Row],[Vtas10]] / Vsnd</f>
        <v>0.25165434589274011</v>
      </c>
      <c r="BL5" s="32">
        <f>0.5 * rho * POWER(Model[[#This Row],[Vtas1]], 2)</f>
        <v>0</v>
      </c>
      <c r="BM5" s="32">
        <f>0.5 * rho * POWER(Model[[#This Row],[Vtas2]], 2)</f>
        <v>52.606443087860072</v>
      </c>
      <c r="BN5" s="32">
        <f>0.5 * rho * POWER(Model[[#This Row],[Vtas3]], 2)</f>
        <v>210.42577235144029</v>
      </c>
      <c r="BO5" s="32">
        <f>0.5 * rho * POWER(Model[[#This Row],[Vtas4]], 2)</f>
        <v>473.45798779074056</v>
      </c>
      <c r="BP5" s="32">
        <f>0.5 * rho * POWER(Model[[#This Row],[Vtas5]], 2)</f>
        <v>841.70308940576115</v>
      </c>
      <c r="BQ5" s="32">
        <f>0.5 * rho * POWER(Model[[#This Row],[Vtas6]], 2)</f>
        <v>1315.1610771965018</v>
      </c>
      <c r="BR5" s="32">
        <f>0.5 * rho * POWER(Model[[#This Row],[Vtas7]], 2)</f>
        <v>1893.8319511629627</v>
      </c>
      <c r="BS5" s="32">
        <f>0.5 * rho * POWER(Model[[#This Row],[Vtas8]], 2)</f>
        <v>2577.7157113051439</v>
      </c>
      <c r="BT5" s="32">
        <f>0.5 * rho * POWER(Model[[#This Row],[Vtas9]], 2)</f>
        <v>3366.8123576230446</v>
      </c>
      <c r="BU5" s="32">
        <f>0.5 * rho * POWER(Model[[#This Row],[Vtas10]], 2)</f>
        <v>4261.1218901166649</v>
      </c>
      <c r="BV5" s="3">
        <f>0.0606 * Model[[#This Row],[bpr]]  + 0.6337</f>
        <v>1.1797059999999999</v>
      </c>
      <c r="BW5" s="3">
        <f t="shared" si="0"/>
        <v>1</v>
      </c>
      <c r="BX5" s="3">
        <f t="shared" si="1"/>
        <v>1.0005999999999999</v>
      </c>
      <c r="BY5" s="3">
        <f t="shared" si="2"/>
        <v>1.0066999999999999</v>
      </c>
      <c r="BZ5" s="4" cm="1">
        <f t="array" ref="BZ5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5" s="4" cm="1">
        <f t="array" ref="CA5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0.96685726379930381</v>
      </c>
      <c r="CB5" s="4" cm="1">
        <f t="array" ref="CB5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0.93496673468836711</v>
      </c>
      <c r="CC5" s="4" cm="1">
        <f t="array" ref="CC5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0.90432841266718977</v>
      </c>
      <c r="CD5" s="4" cm="1">
        <f t="array" ref="CD5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0.87494229773577192</v>
      </c>
      <c r="CE5" s="4" cm="1">
        <f t="array" ref="CE5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0.84680838989411333</v>
      </c>
      <c r="CF5" s="4" cm="1">
        <f t="array" ref="CF5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0.81992668914221434</v>
      </c>
      <c r="CG5" s="4" cm="1">
        <f t="array" ref="CG5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0.79429719548007471</v>
      </c>
      <c r="CH5" s="4" cm="1">
        <f t="array" ref="CH5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0.76991990890769457</v>
      </c>
      <c r="CI5" s="4" cm="1">
        <f t="array" ref="CI5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0.7467948294250738</v>
      </c>
      <c r="CJ5" s="32" cm="1">
        <f t="array" ref="CJ5">Model[[#This Row],[tr1]] * Model[[#This Row],[slst]:[slst]] * n</f>
        <v>758000</v>
      </c>
      <c r="CK5" s="32" cm="1">
        <f t="array" ref="CK5">Model[[#This Row],[tr2]] * Model[[#This Row],[slst]:[slst]] * n</f>
        <v>732877.80595987232</v>
      </c>
      <c r="CL5" s="32" cm="1">
        <f t="array" ref="CL5">Model[[#This Row],[tr3]] * Model[[#This Row],[slst]:[slst]] * n</f>
        <v>708704.78489378223</v>
      </c>
      <c r="CM5" s="32" cm="1">
        <f t="array" ref="CM5">Model[[#This Row],[tr4]] * Model[[#This Row],[slst]:[slst]] * n</f>
        <v>685480.93680172984</v>
      </c>
      <c r="CN5" s="32" cm="1">
        <f t="array" ref="CN5">Model[[#This Row],[tr5]] * Model[[#This Row],[slst]:[slst]] * n</f>
        <v>663206.26168371516</v>
      </c>
      <c r="CO5" s="32" cm="1">
        <f t="array" ref="CO5">Model[[#This Row],[tr6]] * Model[[#This Row],[slst]:[slst]] * n</f>
        <v>641880.75953973795</v>
      </c>
      <c r="CP5" s="32" cm="1">
        <f t="array" ref="CP5">Model[[#This Row],[tr7]] * Model[[#This Row],[slst]:[slst]] * n</f>
        <v>621504.43036979844</v>
      </c>
      <c r="CQ5" s="32" cm="1">
        <f t="array" ref="CQ5">Model[[#This Row],[tr8]] * Model[[#This Row],[slst]:[slst]] * n</f>
        <v>602077.27417389664</v>
      </c>
      <c r="CR5" s="32" cm="1">
        <f t="array" ref="CR5">Model[[#This Row],[tr9]] * Model[[#This Row],[slst]:[slst]] * n</f>
        <v>583599.29095203243</v>
      </c>
      <c r="CS5" s="32" cm="1">
        <f t="array" ref="CS5">Model[[#This Row],[tr10]] * Model[[#This Row],[slst]:[slst]] * n</f>
        <v>566070.48070420593</v>
      </c>
      <c r="CT5" s="32">
        <f>Model[[#This Row],[Fmax1]] * (100 - rto) / 100</f>
        <v>758000</v>
      </c>
      <c r="CU5" s="32">
        <f>Model[[#This Row],[Fmax2]] * (100 - rto) / 100</f>
        <v>732877.80595987232</v>
      </c>
      <c r="CV5" s="32">
        <f>Model[[#This Row],[Fmax3]] * (100 - rto) / 100</f>
        <v>708704.78489378234</v>
      </c>
      <c r="CW5" s="32">
        <f>Model[[#This Row],[Fmax4]] * (100 - rto) / 100</f>
        <v>685480.93680172984</v>
      </c>
      <c r="CX5" s="32">
        <f>Model[[#This Row],[Fmax5]] * (100 - rto) / 100</f>
        <v>663206.26168371516</v>
      </c>
      <c r="CY5" s="32">
        <f>Model[[#This Row],[Fmax6]] * (100 - rto) / 100</f>
        <v>641880.75953973795</v>
      </c>
      <c r="CZ5" s="32">
        <f>Model[[#This Row],[Fmax7]] * (100 - rto) / 100</f>
        <v>621504.43036979844</v>
      </c>
      <c r="DA5" s="32">
        <f>Model[[#This Row],[Fmax8]] * (100 - rto) / 100</f>
        <v>602077.27417389664</v>
      </c>
      <c r="DB5" s="32">
        <f>Model[[#This Row],[Fmax9]] * (100 - rto) / 100</f>
        <v>583599.29095203243</v>
      </c>
      <c r="DC5" s="32">
        <f>Model[[#This Row],[Fmax10]] * (100 - rto) / 100</f>
        <v>566070.48070420593</v>
      </c>
      <c r="DD5" s="32" cm="1">
        <f t="array" ref="DD5">Model[[#This Row],[cL]:[cL]] * 0.5 * rho * POWER(Model[[#This Row],[Vtas1]], 2) * Model[[#This Row],[S_total]:[S_total]]</f>
        <v>0</v>
      </c>
      <c r="DE5" s="32" cm="1">
        <f t="array" ref="DE5">Model[[#This Row],[cL]:[cL]] * 0.5 * rho * POWER(Model[[#This Row],[Vtas2]], 2) * Model[[#This Row],[S_total]:[S_total]]</f>
        <v>40286.021959876562</v>
      </c>
      <c r="DF5" s="32" cm="1">
        <f t="array" ref="DF5">Model[[#This Row],[cL]:[cL]] * 0.5 * rho * POWER(Model[[#This Row],[Vtas3]], 2) * Model[[#This Row],[S_total]:[S_total]]</f>
        <v>161144.08783950625</v>
      </c>
      <c r="DG5" s="32" cm="1">
        <f t="array" ref="DG5">Model[[#This Row],[cL]:[cL]] * 0.5 * rho * POWER(Model[[#This Row],[Vtas4]], 2) * Model[[#This Row],[S_total]:[S_total]]</f>
        <v>362574.19763888902</v>
      </c>
      <c r="DH5" s="32" cm="1">
        <f t="array" ref="DH5">Model[[#This Row],[cL]:[cL]] * 0.5 * rho * POWER(Model[[#This Row],[Vtas5]], 2) * Model[[#This Row],[S_total]:[S_total]]</f>
        <v>644576.35135802499</v>
      </c>
      <c r="DI5" s="32" cm="1">
        <f t="array" ref="DI5">Model[[#This Row],[cL]:[cL]] * 0.5 * rho * POWER(Model[[#This Row],[Vtas6]], 2) * Model[[#This Row],[S_total]:[S_total]]</f>
        <v>1007150.5489969141</v>
      </c>
      <c r="DJ5" s="32" cm="1">
        <f t="array" ref="DJ5">Model[[#This Row],[cL]:[cL]] * 0.5 * rho * POWER(Model[[#This Row],[Vtas7]], 2) * Model[[#This Row],[S_total]:[S_total]]</f>
        <v>1450296.7905555563</v>
      </c>
      <c r="DK5" s="32" cm="1">
        <f t="array" ref="DK5">Model[[#This Row],[cL]:[cL]] * 0.5 * rho * POWER(Model[[#This Row],[Vtas8]], 2) * Model[[#This Row],[S_total]:[S_total]]</f>
        <v>1974015.0760339519</v>
      </c>
      <c r="DL5" s="32" cm="1">
        <f t="array" ref="DL5">Model[[#This Row],[cL]:[cL]] * 0.5 * rho * POWER(Model[[#This Row],[Vtas9]], 2) * Model[[#This Row],[S_total]:[S_total]]</f>
        <v>2578305.4054320999</v>
      </c>
      <c r="DM5" s="32" cm="1">
        <f t="array" ref="DM5">Model[[#This Row],[cL]:[cL]] * 0.5 * rho * POWER(Model[[#This Row],[Vtas10]], 2) * Model[[#This Row],[S_total]:[S_total]]</f>
        <v>3263167.7787500005</v>
      </c>
      <c r="DN5" s="32" cm="1">
        <f t="array" ref="DN5">Model[[#This Row],[cD]:[cD]] * 0.5 * rho * POWER(Model[[#This Row],[Vtas1]], 2) * Model[[#This Row],[S_total]:[S_total]]</f>
        <v>0</v>
      </c>
      <c r="DO5" s="32" cm="1">
        <f t="array" ref="DO5">Model[[#This Row],[cD]:[cD]] * 0.5 * rho * POWER(Model[[#This Row],[Vtas2]], 2) * Model[[#This Row],[S_total]:[S_total]]</f>
        <v>3854.2313399697014</v>
      </c>
      <c r="DP5" s="32" cm="1">
        <f t="array" ref="DP5">Model[[#This Row],[cD]:[cD]] * 0.5 * rho * POWER(Model[[#This Row],[Vtas3]], 2) * Model[[#This Row],[S_total]:[S_total]]</f>
        <v>15416.925359878805</v>
      </c>
      <c r="DQ5" s="32" cm="1">
        <f t="array" ref="DQ5">Model[[#This Row],[cD]:[cD]] * 0.5 * rho * POWER(Model[[#This Row],[Vtas4]], 2) * Model[[#This Row],[S_total]:[S_total]]</f>
        <v>34688.082059727305</v>
      </c>
      <c r="DR5" s="32" cm="1">
        <f t="array" ref="DR5">Model[[#This Row],[cD]:[cD]] * 0.5 * rho * POWER(Model[[#This Row],[Vtas5]], 2) * Model[[#This Row],[S_total]:[S_total]]</f>
        <v>61667.701439515222</v>
      </c>
      <c r="DS5" s="32" cm="1">
        <f t="array" ref="DS5">Model[[#This Row],[cD]:[cD]] * 0.5 * rho * POWER(Model[[#This Row],[Vtas6]], 2) * Model[[#This Row],[S_total]:[S_total]]</f>
        <v>96355.783499242549</v>
      </c>
      <c r="DT5" s="32" cm="1">
        <f t="array" ref="DT5">Model[[#This Row],[cD]:[cD]] * 0.5 * rho * POWER(Model[[#This Row],[Vtas7]], 2) * Model[[#This Row],[S_total]:[S_total]]</f>
        <v>138752.32823890928</v>
      </c>
      <c r="DU5" s="32" cm="1">
        <f t="array" ref="DU5">Model[[#This Row],[cD]:[cD]] * 0.5 * rho * POWER(Model[[#This Row],[Vtas8]], 2) * Model[[#This Row],[S_total]:[S_total]]</f>
        <v>188857.33565851543</v>
      </c>
      <c r="DV5" s="32" cm="1">
        <f t="array" ref="DV5">Model[[#This Row],[cD]:[cD]] * 0.5 * rho * POWER(Model[[#This Row],[Vtas9]], 2) * Model[[#This Row],[S_total]:[S_total]]</f>
        <v>246670.80575806089</v>
      </c>
      <c r="DW5" s="32" cm="1">
        <f t="array" ref="DW5">Model[[#This Row],[cD]:[cD]] * 0.5 * rho * POWER(Model[[#This Row],[Vtas10]], 2) * Model[[#This Row],[S_total]:[S_total]]</f>
        <v>312192.73853754572</v>
      </c>
      <c r="DX5" s="4" cm="1">
        <f t="array" ref="DX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DY5" s="4" cm="1">
        <f t="array" ref="DY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2.4577914093058189</v>
      </c>
      <c r="DZ5" s="4" cm="1">
        <f t="array" ref="DZ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2.336633031966159</v>
      </c>
      <c r="EA5" s="4" cm="1">
        <f t="array" ref="EA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2.1967552043446563</v>
      </c>
      <c r="EB5" s="4" cm="1">
        <f t="array" ref="EB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2.0381579264413108</v>
      </c>
      <c r="EC5" s="4" cm="1">
        <f t="array" ref="EC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1.8608411982561226</v>
      </c>
      <c r="ED5" s="4" cm="1">
        <f t="array" ref="ED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1.6648050197890922</v>
      </c>
      <c r="EE5" s="4" cm="1">
        <f t="array" ref="EE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1.4500493910402192</v>
      </c>
      <c r="EF5" s="4" cm="1">
        <f t="array" ref="EF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1.2165743120095036</v>
      </c>
      <c r="EG5" s="4" cm="1">
        <f t="array" ref="EG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0.96437978269694613</v>
      </c>
      <c r="EH5" s="12">
        <f>(Model[[#This Row],[a1]] - Model[[#This Row],[a10]]) / Model[[#This Row],[a1]]</f>
        <v>0.62332303894708152</v>
      </c>
      <c r="EI5" s="4">
        <f>AVERAGE(Model[[#This Row],[a1]], Model[[#This Row],[a1]])</f>
        <v>2.5602303363636367</v>
      </c>
      <c r="EJ5" s="4">
        <f>AVERAGE(Model[[#This Row],[a1]], Model[[#This Row],[a2]])</f>
        <v>2.509010872834728</v>
      </c>
      <c r="EK5" s="4">
        <f>AVERAGE(Model[[#This Row],[a2]], Model[[#This Row],[a3]])</f>
        <v>2.3972122206359892</v>
      </c>
      <c r="EL5" s="4">
        <f>AVERAGE(Model[[#This Row],[a3]], Model[[#This Row],[a4]])</f>
        <v>2.2666941181554074</v>
      </c>
      <c r="EM5" s="4">
        <f>AVERAGE(Model[[#This Row],[a4]], Model[[#This Row],[a5]])</f>
        <v>2.1174565653929838</v>
      </c>
      <c r="EN5" s="4">
        <f>AVERAGE(Model[[#This Row],[a5]], Model[[#This Row],[a6]])</f>
        <v>1.9494995623487168</v>
      </c>
      <c r="EO5" s="4">
        <f>AVERAGE(Model[[#This Row],[a6]], Model[[#This Row],[a7]])</f>
        <v>1.7628231090226074</v>
      </c>
      <c r="EP5" s="4">
        <f>AVERAGE(Model[[#This Row],[a7]], Model[[#This Row],[a8]])</f>
        <v>1.5574272054146556</v>
      </c>
      <c r="EQ5" s="4">
        <f>AVERAGE(Model[[#This Row],[a8]], Model[[#This Row],[a9]])</f>
        <v>1.3333118515248614</v>
      </c>
      <c r="ER5" s="4">
        <f>AVERAGE(Model[[#This Row],[a9]], Model[[#This Row],[a10]])</f>
        <v>1.0904770473532248</v>
      </c>
      <c r="ES5" s="4">
        <f>AVERAGE(Model[[#This Row],[Vgnd1]], Model[[#This Row],[Vgnd1]])</f>
        <v>0</v>
      </c>
      <c r="ET5" s="4">
        <f>AVERAGE(Model[[#This Row],[Vgnd1]], Model[[#This Row],[Vgnd2]])</f>
        <v>4.6337908441017985</v>
      </c>
      <c r="EU5" s="4">
        <f>AVERAGE(Model[[#This Row],[Vgnd2]], Model[[#This Row],[Vgnd3]])</f>
        <v>13.901372532305395</v>
      </c>
      <c r="EV5" s="4">
        <f>AVERAGE(Model[[#This Row],[Vgnd3]], Model[[#This Row],[Vgnd4]])</f>
        <v>23.168954220508994</v>
      </c>
      <c r="EW5" s="4">
        <f>AVERAGE(Model[[#This Row],[Vgnd4]], Model[[#This Row],[Vgnd5]])</f>
        <v>32.436535908712585</v>
      </c>
      <c r="EX5" s="4">
        <f>AVERAGE(Model[[#This Row],[Vgnd5]], Model[[#This Row],[Vgnd6]])</f>
        <v>41.704117596916191</v>
      </c>
      <c r="EY5" s="4">
        <f>AVERAGE(Model[[#This Row],[Vgnd6]], Model[[#This Row],[Vgnd7]])</f>
        <v>50.971699285119783</v>
      </c>
      <c r="EZ5" s="4">
        <f>AVERAGE(Model[[#This Row],[Vgnd7]], Model[[#This Row],[Vgnd8]])</f>
        <v>60.239280973323389</v>
      </c>
      <c r="FA5" s="4">
        <f>AVERAGE(Model[[#This Row],[Vgnd8]], Model[[#This Row],[Vgnd9]])</f>
        <v>69.506862661526981</v>
      </c>
      <c r="FB5" s="4">
        <f>AVERAGE(Model[[#This Row],[Vgnd9]], Model[[#This Row],[Vgnd10]])</f>
        <v>78.774444349730572</v>
      </c>
      <c r="FC5" s="4">
        <f>Model[[#This Row],[Vlof]] / 9</f>
        <v>9.2675816882035971</v>
      </c>
      <c r="FD5" s="4" cm="1">
        <f t="array" ref="FD5">Model[[#This Row],[Vgnd_bar1]] * Model[[#This Row],[Vgnd_int]:[Vgnd_int]] / Model[[#This Row],[a_bar1]]</f>
        <v>0</v>
      </c>
      <c r="FE5" s="4" cm="1">
        <f t="array" ref="FE5">Model[[#This Row],[Vgnd_bar2]] * Model[[#This Row],[Vgnd_int]:[Vgnd_int]] / Model[[#This Row],[a_bar2]]</f>
        <v>17.11592230975242</v>
      </c>
      <c r="FF5" s="4" cm="1">
        <f t="array" ref="FF5">Model[[#This Row],[Vgnd_bar3]] * Model[[#This Row],[Vgnd_int]:[Vgnd_int]] / Model[[#This Row],[a_bar3]]</f>
        <v>53.742469862393044</v>
      </c>
      <c r="FG5" s="4" cm="1">
        <f t="array" ref="FG5">Model[[#This Row],[Vgnd_bar4]] * Model[[#This Row],[Vgnd_int]:[Vgnd_int]] / Model[[#This Row],[a_bar4]]</f>
        <v>94.72834210358819</v>
      </c>
      <c r="FH5" s="4" cm="1">
        <f t="array" ref="FH5">Model[[#This Row],[Vgnd_bar5]] * Model[[#This Row],[Vgnd_int]:[Vgnd_int]] / Model[[#This Row],[a_bar5]]</f>
        <v>141.96666469073597</v>
      </c>
      <c r="FI5" s="4" cm="1">
        <f t="array" ref="FI5">Model[[#This Row],[Vgnd_bar6]] * Model[[#This Row],[Vgnd_int]:[Vgnd_int]] / Model[[#This Row],[a_bar6]]</f>
        <v>198.25411814826319</v>
      </c>
      <c r="FJ5" s="4" cm="1">
        <f t="array" ref="FJ5">Model[[#This Row],[Vgnd_bar7]] * Model[[#This Row],[Vgnd_int]:[Vgnd_int]] / Model[[#This Row],[a_bar7]]</f>
        <v>267.97038482965473</v>
      </c>
      <c r="FK5" s="4" cm="1">
        <f t="array" ref="FK5">Model[[#This Row],[Vgnd_bar8]] * Model[[#This Row],[Vgnd_int]:[Vgnd_int]] / Model[[#This Row],[a_bar8]]</f>
        <v>358.45813872904995</v>
      </c>
      <c r="FL5" s="4" cm="1">
        <f t="array" ref="FL5">Model[[#This Row],[Vgnd_bar9]] * Model[[#This Row],[Vgnd_int]:[Vgnd_int]] / Model[[#This Row],[a_bar9]]</f>
        <v>483.1281795551028</v>
      </c>
      <c r="FM5" s="4" cm="1">
        <f t="array" ref="FM5">Model[[#This Row],[Vgnd_bar10]] * Model[[#This Row],[Vgnd_int]:[Vgnd_int]] / Model[[#This Row],[a_bar10]]</f>
        <v>669.47635415704508</v>
      </c>
      <c r="FN5" s="5">
        <f>SUM(Model[[#This Row],[inc1]:[inc10]])</f>
        <v>2284.8405743855856</v>
      </c>
      <c r="FO5" s="16">
        <f>Model[[#This Row],[todr_cal_air]]</f>
        <v>78.9022296705716</v>
      </c>
      <c r="FP5" s="5">
        <f>(Model[[#This Row],[todr_sim_gnd]] + Model[[#This Row],[todr_sim_air]]) * (tod_mul-1)</f>
        <v>354.56142060842336</v>
      </c>
      <c r="FQ5" s="5">
        <f>SUM(Model[[#This Row],[todr_sim_gnd]:[todr_sim_reg]])</f>
        <v>2718.3042246645805</v>
      </c>
      <c r="FR5" s="5">
        <f>Model[[#This Row],[todr_cal]] - Model[[#This Row],[todr_cal_reg]] - Model[[#This Row],[todr_cal_air]]</f>
        <v>2284.8369007642114</v>
      </c>
      <c r="FS5" s="16">
        <f>screen_height * SIN((90 - climb_angle) * PI() / 180) / SIN(climb_angle * PI() / 180) * ft_to_m</f>
        <v>78.9022296705716</v>
      </c>
      <c r="FT5" s="5">
        <f>Model[[#This Row],[todr_cal]] - Model[[#This Row],[todr_cal]] / tod_mul</f>
        <v>354.56086956521722</v>
      </c>
      <c r="FU5" s="5" cm="1">
        <f t="array" ref="FU5">_xlfn.XLOOKUP(Model[[#This Row],[type]] &amp; Model[[#This Row],[m]], Calibration[type] &amp;  Calibration[m], Calibration[todr_cal])</f>
        <v>2718.3</v>
      </c>
      <c r="FV5" s="3">
        <f>ABS(Model[[#This Row],[todr_sim]] - Model[[#This Row],[todr_cal]])</f>
        <v>4.2246645803061256E-3</v>
      </c>
      <c r="FW5" s="6">
        <f>Model[[#This Row],[diff_m]] / Model[[#This Row],[todr_cal]]</f>
        <v>1.5541568555001748E-6</v>
      </c>
      <c r="FX5"/>
      <c r="FY5"/>
      <c r="FZ5"/>
      <c r="GA5"/>
      <c r="GB5"/>
      <c r="GC5"/>
    </row>
    <row r="6" spans="1:185" x14ac:dyDescent="0.25">
      <c r="A6" s="2" t="s">
        <v>140</v>
      </c>
      <c r="B6" s="2" t="s">
        <v>226</v>
      </c>
      <c r="C6" s="2" t="s">
        <v>227</v>
      </c>
      <c r="D6" s="5">
        <v>2</v>
      </c>
      <c r="E6" s="5">
        <v>130400</v>
      </c>
      <c r="F6" s="15" cm="1">
        <f t="array" ref="F6">MAX(IF(Calibration[type] = Model[[#This Row],[type]], Calibration[m]))</f>
        <v>88000</v>
      </c>
      <c r="G6" s="5">
        <v>127</v>
      </c>
      <c r="H6" s="16">
        <v>8.3000000000000007</v>
      </c>
      <c r="I6" s="16">
        <v>34.32</v>
      </c>
      <c r="J6" s="16">
        <v>0.02</v>
      </c>
      <c r="K6" s="16">
        <v>4.2000000000000003E-2</v>
      </c>
      <c r="L6" s="16">
        <v>0.79700000000000004</v>
      </c>
      <c r="M6" s="16">
        <v>0.9</v>
      </c>
      <c r="N6" s="16">
        <v>0.15</v>
      </c>
      <c r="O6" s="16">
        <v>0.3</v>
      </c>
      <c r="P6" s="5" cm="1">
        <f t="array" ref="P6">MIN(IF(Calibration[type] = Model[[#This Row],[type]], Calibration[m]))</f>
        <v>45500</v>
      </c>
      <c r="Q6" s="49">
        <v>45500</v>
      </c>
      <c r="R6" s="5">
        <f>Model[[#This Row],[m]] * g</f>
        <v>446203.25750000001</v>
      </c>
      <c r="S6" s="5">
        <f>Model[[#This Row],[S_clean]] * Model[[#This Row],[SfS]]</f>
        <v>38.1</v>
      </c>
      <c r="T6" s="5">
        <f>IF(WingArea = "Incl. flaps", SUM(Model[[#This Row],[S_clean]], Model[[#This Row],[S_flaps]]), Model[[#This Row],[S_clean]])</f>
        <v>127</v>
      </c>
      <c r="U6" s="14">
        <f>Model[[#This Row],[lambda_f]] * POWER(Model[[#This Row],[cfc]], 1.38) * Model[[#This Row],[SfS]] * IF(flap_unit = "Degrees", POWER(SIN(flap_angle), 2), POWER(SIN(flap_angle * PI() / 180), 2))</f>
        <v>5.9389567377877647E-4</v>
      </c>
      <c r="V6" s="13">
        <f>Model[[#This Row],[W]] / Model[[#This Row],[S_total]] * k_gear * POWER(Model[[#This Row],[maxtom]], -0.215)</f>
        <v>1.3643053496007326E-2</v>
      </c>
      <c r="W6" s="13">
        <f>SUM(Model[[#This Row],[cD0_clean]], Model[[#This Row],[cD0_flaps]], Model[[#This Row],[cD0_gear]])</f>
        <v>3.4236949169786104E-2</v>
      </c>
      <c r="X6" s="50">
        <v>1.1043907148312082</v>
      </c>
      <c r="Y6" s="3">
        <f>POWER(Model[[#This Row],[span]], 2) / Model[[#This Row],[S_total]]</f>
        <v>9.2745070866141734</v>
      </c>
      <c r="Z6" s="11">
        <f t="shared" si="3"/>
        <v>2.5999999999999999E-2</v>
      </c>
      <c r="AA6" s="11">
        <f>0.797+Model[[#This Row],[e_flaps]]</f>
        <v>0.82300000000000006</v>
      </c>
      <c r="AB6" s="11">
        <f>1 / (1 / Model[[#This Row],[k_clean]] + PI() * Model[[#This Row],[ar]] * Model[[#This Row],[e_flaps]])</f>
        <v>4.070488052843136E-2</v>
      </c>
      <c r="AC6" s="11">
        <f>Model[[#This Row],[k_total]] * POWER(Model[[#This Row],[cL]], 2)</f>
        <v>4.9646881913228712E-2</v>
      </c>
      <c r="AD6" s="11">
        <f>(Model[[#This Row],[cD0_total]] + Model[[#This Row],[cDi]])</f>
        <v>8.3883831083014809E-2</v>
      </c>
      <c r="AE6" s="11">
        <f>Model[[#This Row],[cD]] - mu * Model[[#This Row],[cL]]</f>
        <v>6.1796016786390642E-2</v>
      </c>
      <c r="AF6" s="3">
        <f>Model[[#This Row],[cL]] / Model[[#This Row],[cD]]</f>
        <v>13.165716212201357</v>
      </c>
      <c r="AG6" s="31">
        <f>SQRT(Model[[#This Row],[W]] / (0.5 * rho * Model[[#This Row],[S_total]] * Model[[#This Row],[cL]])) * Vs_to_Vlof</f>
        <v>79.276190590641235</v>
      </c>
      <c r="AH6" s="31">
        <v>0</v>
      </c>
      <c r="AI6" s="31" cm="1">
        <f t="array" ref="AI6">Model[[#This Row],[Vtas1]] + Model[[#This Row],[Vlof]:[Vlof]] / 9</f>
        <v>8.8084656211823589</v>
      </c>
      <c r="AJ6" s="31" cm="1">
        <f t="array" ref="AJ6">Model[[#This Row],[Vtas2]] + Model[[#This Row],[Vlof]:[Vlof]] / 9</f>
        <v>17.616931242364718</v>
      </c>
      <c r="AK6" s="31" cm="1">
        <f t="array" ref="AK6">Model[[#This Row],[Vtas3]] + Model[[#This Row],[Vlof]:[Vlof]] / 9</f>
        <v>26.425396863547078</v>
      </c>
      <c r="AL6" s="31" cm="1">
        <f t="array" ref="AL6">Model[[#This Row],[Vtas4]] + Model[[#This Row],[Vlof]:[Vlof]] / 9</f>
        <v>35.233862484729435</v>
      </c>
      <c r="AM6" s="31" cm="1">
        <f t="array" ref="AM6">Model[[#This Row],[Vtas5]] + Model[[#This Row],[Vlof]:[Vlof]] / 9</f>
        <v>44.042328105911793</v>
      </c>
      <c r="AN6" s="31" cm="1">
        <f t="array" ref="AN6">Model[[#This Row],[Vtas6]] + Model[[#This Row],[Vlof]:[Vlof]] / 9</f>
        <v>52.85079372709415</v>
      </c>
      <c r="AO6" s="31" cm="1">
        <f t="array" ref="AO6">Model[[#This Row],[Vtas7]] + Model[[#This Row],[Vlof]:[Vlof]] / 9</f>
        <v>61.659259348276507</v>
      </c>
      <c r="AP6" s="31" cm="1">
        <f t="array" ref="AP6">Model[[#This Row],[Vtas8]] + Model[[#This Row],[Vlof]:[Vlof]] / 9</f>
        <v>70.467724969458871</v>
      </c>
      <c r="AQ6" s="31" cm="1">
        <f t="array" ref="AQ6">Model[[#This Row],[Vtas9]] + Model[[#This Row],[Vlof]:[Vlof]] / 9</f>
        <v>79.276190590641235</v>
      </c>
      <c r="AR6" s="31">
        <v>0</v>
      </c>
      <c r="AS6" s="31" cm="1">
        <f t="array" ref="AS6">Model[[#This Row],[Vgnd1]] + Model[[#This Row],[Vlof]:[Vlof]] / 9</f>
        <v>8.8084656211823589</v>
      </c>
      <c r="AT6" s="31" cm="1">
        <f t="array" ref="AT6">Model[[#This Row],[Vgnd2]] + Model[[#This Row],[Vlof]:[Vlof]] / 9</f>
        <v>17.616931242364718</v>
      </c>
      <c r="AU6" s="31" cm="1">
        <f t="array" ref="AU6">Model[[#This Row],[Vgnd3]] + Model[[#This Row],[Vlof]:[Vlof]] / 9</f>
        <v>26.425396863547078</v>
      </c>
      <c r="AV6" s="31" cm="1">
        <f t="array" ref="AV6">Model[[#This Row],[Vgnd4]] + Model[[#This Row],[Vlof]:[Vlof]] / 9</f>
        <v>35.233862484729435</v>
      </c>
      <c r="AW6" s="31" cm="1">
        <f t="array" ref="AW6">Model[[#This Row],[Vgnd5]] + Model[[#This Row],[Vlof]:[Vlof]] / 9</f>
        <v>44.042328105911793</v>
      </c>
      <c r="AX6" s="31" cm="1">
        <f t="array" ref="AX6">Model[[#This Row],[Vgnd6]] + Model[[#This Row],[Vlof]:[Vlof]] / 9</f>
        <v>52.85079372709415</v>
      </c>
      <c r="AY6" s="31" cm="1">
        <f t="array" ref="AY6">Model[[#This Row],[Vgnd7]] + Model[[#This Row],[Vlof]:[Vlof]] / 9</f>
        <v>61.659259348276507</v>
      </c>
      <c r="AZ6" s="31" cm="1">
        <f t="array" ref="AZ6">Model[[#This Row],[Vgnd8]] + Model[[#This Row],[Vlof]:[Vlof]] / 9</f>
        <v>70.467724969458871</v>
      </c>
      <c r="BA6" s="31" cm="1">
        <f t="array" ref="BA6">Model[[#This Row],[Vgnd9]] + Model[[#This Row],[Vlof]:[Vlof]] / 9</f>
        <v>79.276190590641235</v>
      </c>
      <c r="BB6" s="33">
        <f>Model[[#This Row],[Vtas1]] / Vsnd</f>
        <v>0</v>
      </c>
      <c r="BC6" s="33">
        <f>Model[[#This Row],[Vtas2]] / Vsnd</f>
        <v>2.6576376410146711E-2</v>
      </c>
      <c r="BD6" s="33">
        <f>Model[[#This Row],[Vtas3]] / Vsnd</f>
        <v>5.3152752820293421E-2</v>
      </c>
      <c r="BE6" s="33">
        <f>Model[[#This Row],[Vtas4]] / Vsnd</f>
        <v>7.9729129230440135E-2</v>
      </c>
      <c r="BF6" s="33">
        <f>Model[[#This Row],[Vtas5]] / Vsnd</f>
        <v>0.10630550564058684</v>
      </c>
      <c r="BG6" s="33">
        <f>Model[[#This Row],[Vtas6]] / Vsnd</f>
        <v>0.13288188205073354</v>
      </c>
      <c r="BH6" s="33">
        <f>Model[[#This Row],[Vtas7]] / Vsnd</f>
        <v>0.15945825846088024</v>
      </c>
      <c r="BI6" s="33">
        <f>Model[[#This Row],[Vtas8]] / Vsnd</f>
        <v>0.18603463487102695</v>
      </c>
      <c r="BJ6" s="33">
        <f>Model[[#This Row],[Vtas9]] / Vsnd</f>
        <v>0.21261101128117368</v>
      </c>
      <c r="BK6" s="33">
        <f>Model[[#This Row],[Vtas10]] / Vsnd</f>
        <v>0.23918738769132042</v>
      </c>
      <c r="BL6" s="32">
        <f>0.5 * rho * POWER(Model[[#This Row],[Vtas1]], 2)</f>
        <v>0</v>
      </c>
      <c r="BM6" s="32">
        <f>0.5 * rho * POWER(Model[[#This Row],[Vtas2]], 2)</f>
        <v>47.523303292225307</v>
      </c>
      <c r="BN6" s="32">
        <f>0.5 * rho * POWER(Model[[#This Row],[Vtas3]], 2)</f>
        <v>190.09321316890123</v>
      </c>
      <c r="BO6" s="32">
        <f>0.5 * rho * POWER(Model[[#This Row],[Vtas4]], 2)</f>
        <v>427.70972963002782</v>
      </c>
      <c r="BP6" s="32">
        <f>0.5 * rho * POWER(Model[[#This Row],[Vtas5]], 2)</f>
        <v>760.37285267560492</v>
      </c>
      <c r="BQ6" s="32">
        <f>0.5 * rho * POWER(Model[[#This Row],[Vtas6]], 2)</f>
        <v>1188.0825823056327</v>
      </c>
      <c r="BR6" s="32">
        <f>0.5 * rho * POWER(Model[[#This Row],[Vtas7]], 2)</f>
        <v>1710.8389185201108</v>
      </c>
      <c r="BS6" s="32">
        <f>0.5 * rho * POWER(Model[[#This Row],[Vtas8]], 2)</f>
        <v>2328.6418613190399</v>
      </c>
      <c r="BT6" s="32">
        <f>0.5 * rho * POWER(Model[[#This Row],[Vtas9]], 2)</f>
        <v>3041.4914107024197</v>
      </c>
      <c r="BU6" s="32">
        <f>0.5 * rho * POWER(Model[[#This Row],[Vtas10]], 2)</f>
        <v>3849.3875666702502</v>
      </c>
      <c r="BV6" s="3">
        <f>0.0606 * Model[[#This Row],[bpr]]  + 0.6337</f>
        <v>1.1366800000000001</v>
      </c>
      <c r="BW6" s="3">
        <f t="shared" si="0"/>
        <v>1</v>
      </c>
      <c r="BX6" s="3">
        <f t="shared" si="1"/>
        <v>1.0005999999999999</v>
      </c>
      <c r="BY6" s="3">
        <f t="shared" si="2"/>
        <v>1.0066999999999999</v>
      </c>
      <c r="BZ6" s="4" cm="1">
        <f t="array" ref="BZ6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6" s="4" cm="1">
        <f t="array" ref="CA6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0.96905837751786361</v>
      </c>
      <c r="CB6" s="4" cm="1">
        <f t="array" ref="CB6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0.93921555341584606</v>
      </c>
      <c r="CC6" s="4" cm="1">
        <f t="array" ref="CC6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0.91047152769394712</v>
      </c>
      <c r="CD6" s="4" cm="1">
        <f t="array" ref="CD6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0.88282630035216714</v>
      </c>
      <c r="CE6" s="4" cm="1">
        <f t="array" ref="CE6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0.85627987139050588</v>
      </c>
      <c r="CF6" s="4" cm="1">
        <f t="array" ref="CF6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0.83083224080896345</v>
      </c>
      <c r="CG6" s="4" cm="1">
        <f t="array" ref="CG6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0.80648340860753975</v>
      </c>
      <c r="CH6" s="4" cm="1">
        <f t="array" ref="CH6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0.78323337478623478</v>
      </c>
      <c r="CI6" s="4" cm="1">
        <f t="array" ref="CI6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0.76108213934504865</v>
      </c>
      <c r="CJ6" s="32" cm="1">
        <f t="array" ref="CJ6">Model[[#This Row],[tr1]] * Model[[#This Row],[slst]:[slst]] * n</f>
        <v>260800</v>
      </c>
      <c r="CK6" s="32" cm="1">
        <f t="array" ref="CK6">Model[[#This Row],[tr2]] * Model[[#This Row],[slst]:[slst]] * n</f>
        <v>252730.42485665882</v>
      </c>
      <c r="CL6" s="32" cm="1">
        <f t="array" ref="CL6">Model[[#This Row],[tr3]] * Model[[#This Row],[slst]:[slst]] * n</f>
        <v>244947.41633085266</v>
      </c>
      <c r="CM6" s="32" cm="1">
        <f t="array" ref="CM6">Model[[#This Row],[tr4]] * Model[[#This Row],[slst]:[slst]] * n</f>
        <v>237450.97442258141</v>
      </c>
      <c r="CN6" s="32" cm="1">
        <f t="array" ref="CN6">Model[[#This Row],[tr5]] * Model[[#This Row],[slst]:[slst]] * n</f>
        <v>230241.0991318452</v>
      </c>
      <c r="CO6" s="32" cm="1">
        <f t="array" ref="CO6">Model[[#This Row],[tr6]] * Model[[#This Row],[slst]:[slst]] * n</f>
        <v>223317.79045864393</v>
      </c>
      <c r="CP6" s="32" cm="1">
        <f t="array" ref="CP6">Model[[#This Row],[tr7]] * Model[[#This Row],[slst]:[slst]] * n</f>
        <v>216681.04840297767</v>
      </c>
      <c r="CQ6" s="32" cm="1">
        <f t="array" ref="CQ6">Model[[#This Row],[tr8]] * Model[[#This Row],[slst]:[slst]] * n</f>
        <v>210330.87296484638</v>
      </c>
      <c r="CR6" s="32" cm="1">
        <f t="array" ref="CR6">Model[[#This Row],[tr9]] * Model[[#This Row],[slst]:[slst]] * n</f>
        <v>204267.26414425002</v>
      </c>
      <c r="CS6" s="32" cm="1">
        <f t="array" ref="CS6">Model[[#This Row],[tr10]] * Model[[#This Row],[slst]:[slst]] * n</f>
        <v>198490.22194118868</v>
      </c>
      <c r="CT6" s="32">
        <f>Model[[#This Row],[Fmax1]] * (100 - rto) / 100</f>
        <v>260800</v>
      </c>
      <c r="CU6" s="32">
        <f>Model[[#This Row],[Fmax2]] * (100 - rto) / 100</f>
        <v>252730.42485665885</v>
      </c>
      <c r="CV6" s="32">
        <f>Model[[#This Row],[Fmax3]] * (100 - rto) / 100</f>
        <v>244947.41633085266</v>
      </c>
      <c r="CW6" s="32">
        <f>Model[[#This Row],[Fmax4]] * (100 - rto) / 100</f>
        <v>237450.97442258141</v>
      </c>
      <c r="CX6" s="32">
        <f>Model[[#This Row],[Fmax5]] * (100 - rto) / 100</f>
        <v>230241.0991318452</v>
      </c>
      <c r="CY6" s="32">
        <f>Model[[#This Row],[Fmax6]] * (100 - rto) / 100</f>
        <v>223317.79045864393</v>
      </c>
      <c r="CZ6" s="32">
        <f>Model[[#This Row],[Fmax7]] * (100 - rto) / 100</f>
        <v>216681.04840297767</v>
      </c>
      <c r="DA6" s="32">
        <f>Model[[#This Row],[Fmax8]] * (100 - rto) / 100</f>
        <v>210330.87296484638</v>
      </c>
      <c r="DB6" s="32">
        <f>Model[[#This Row],[Fmax9]] * (100 - rto) / 100</f>
        <v>204267.26414425002</v>
      </c>
      <c r="DC6" s="32">
        <f>Model[[#This Row],[Fmax10]] * (100 - rto) / 100</f>
        <v>198490.22194118868</v>
      </c>
      <c r="DD6" s="32" cm="1">
        <f t="array" ref="DD6">Model[[#This Row],[cL]:[cL]] * 0.5 * rho * POWER(Model[[#This Row],[Vtas1]], 2) * Model[[#This Row],[S_total]:[S_total]]</f>
        <v>0</v>
      </c>
      <c r="DE6" s="32" cm="1">
        <f t="array" ref="DE6">Model[[#This Row],[cL]:[cL]] * 0.5 * rho * POWER(Model[[#This Row],[Vtas2]], 2) * Model[[#This Row],[S_total]:[S_total]]</f>
        <v>6665.5054515432084</v>
      </c>
      <c r="DF6" s="32" cm="1">
        <f t="array" ref="DF6">Model[[#This Row],[cL]:[cL]] * 0.5 * rho * POWER(Model[[#This Row],[Vtas3]], 2) * Model[[#This Row],[S_total]:[S_total]]</f>
        <v>26662.021806172834</v>
      </c>
      <c r="DG6" s="32" cm="1">
        <f t="array" ref="DG6">Model[[#This Row],[cL]:[cL]] * 0.5 * rho * POWER(Model[[#This Row],[Vtas4]], 2) * Model[[#This Row],[S_total]:[S_total]]</f>
        <v>59989.549063888895</v>
      </c>
      <c r="DH6" s="32" cm="1">
        <f t="array" ref="DH6">Model[[#This Row],[cL]:[cL]] * 0.5 * rho * POWER(Model[[#This Row],[Vtas5]], 2) * Model[[#This Row],[S_total]:[S_total]]</f>
        <v>106648.08722469133</v>
      </c>
      <c r="DI6" s="32" cm="1">
        <f t="array" ref="DI6">Model[[#This Row],[cL]:[cL]] * 0.5 * rho * POWER(Model[[#This Row],[Vtas6]], 2) * Model[[#This Row],[S_total]:[S_total]]</f>
        <v>166637.63628858022</v>
      </c>
      <c r="DJ6" s="32" cm="1">
        <f t="array" ref="DJ6">Model[[#This Row],[cL]:[cL]] * 0.5 * rho * POWER(Model[[#This Row],[Vtas7]], 2) * Model[[#This Row],[S_total]:[S_total]]</f>
        <v>239958.19625555549</v>
      </c>
      <c r="DK6" s="32" cm="1">
        <f t="array" ref="DK6">Model[[#This Row],[cL]:[cL]] * 0.5 * rho * POWER(Model[[#This Row],[Vtas8]], 2) * Model[[#This Row],[S_total]:[S_total]]</f>
        <v>326609.76712561719</v>
      </c>
      <c r="DL6" s="32" cm="1">
        <f t="array" ref="DL6">Model[[#This Row],[cL]:[cL]] * 0.5 * rho * POWER(Model[[#This Row],[Vtas9]], 2) * Model[[#This Row],[S_total]:[S_total]]</f>
        <v>426592.34889876534</v>
      </c>
      <c r="DM6" s="32" cm="1">
        <f t="array" ref="DM6">Model[[#This Row],[cL]:[cL]] * 0.5 * rho * POWER(Model[[#This Row],[Vtas10]], 2) * Model[[#This Row],[S_total]:[S_total]]</f>
        <v>539905.94157500006</v>
      </c>
      <c r="DN6" s="32" cm="1">
        <f t="array" ref="DN6">Model[[#This Row],[cD]:[cD]] * 0.5 * rho * POWER(Model[[#This Row],[Vtas1]], 2) * Model[[#This Row],[S_total]:[S_total]]</f>
        <v>0</v>
      </c>
      <c r="DO6" s="32" cm="1">
        <f t="array" ref="DO6">Model[[#This Row],[cD]:[cD]] * 0.5 * rho * POWER(Model[[#This Row],[Vtas2]], 2) * Model[[#This Row],[S_total]:[S_total]]</f>
        <v>506.27746672573244</v>
      </c>
      <c r="DP6" s="32" cm="1">
        <f t="array" ref="DP6">Model[[#This Row],[cD]:[cD]] * 0.5 * rho * POWER(Model[[#This Row],[Vtas3]], 2) * Model[[#This Row],[S_total]:[S_total]]</f>
        <v>2025.1098669029298</v>
      </c>
      <c r="DQ6" s="32" cm="1">
        <f t="array" ref="DQ6">Model[[#This Row],[cD]:[cD]] * 0.5 * rho * POWER(Model[[#This Row],[Vtas4]], 2) * Model[[#This Row],[S_total]:[S_total]]</f>
        <v>4556.4972005315931</v>
      </c>
      <c r="DR6" s="32" cm="1">
        <f t="array" ref="DR6">Model[[#This Row],[cD]:[cD]] * 0.5 * rho * POWER(Model[[#This Row],[Vtas5]], 2) * Model[[#This Row],[S_total]:[S_total]]</f>
        <v>8100.439467611719</v>
      </c>
      <c r="DS6" s="32" cm="1">
        <f t="array" ref="DS6">Model[[#This Row],[cD]:[cD]] * 0.5 * rho * POWER(Model[[#This Row],[Vtas6]], 2) * Model[[#This Row],[S_total]:[S_total]]</f>
        <v>12656.936668143311</v>
      </c>
      <c r="DT6" s="32" cm="1">
        <f t="array" ref="DT6">Model[[#This Row],[cD]:[cD]] * 0.5 * rho * POWER(Model[[#This Row],[Vtas7]], 2) * Model[[#This Row],[S_total]:[S_total]]</f>
        <v>18225.988802126365</v>
      </c>
      <c r="DU6" s="32" cm="1">
        <f t="array" ref="DU6">Model[[#This Row],[cD]:[cD]] * 0.5 * rho * POWER(Model[[#This Row],[Vtas8]], 2) * Model[[#This Row],[S_total]:[S_total]]</f>
        <v>24807.595869560886</v>
      </c>
      <c r="DV6" s="32" cm="1">
        <f t="array" ref="DV6">Model[[#This Row],[cD]:[cD]] * 0.5 * rho * POWER(Model[[#This Row],[Vtas9]], 2) * Model[[#This Row],[S_total]:[S_total]]</f>
        <v>32401.757870446876</v>
      </c>
      <c r="DW6" s="32" cm="1">
        <f t="array" ref="DW6">Model[[#This Row],[cD]:[cD]] * 0.5 * rho * POWER(Model[[#This Row],[Vtas10]], 2) * Model[[#This Row],[S_total]:[S_total]]</f>
        <v>41008.474804784331</v>
      </c>
      <c r="DX6" s="4" cm="1">
        <f t="array" ref="DX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5.5357348318681323</v>
      </c>
      <c r="DY6" s="4" cm="1">
        <f t="array" ref="DY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5.350184447229978</v>
      </c>
      <c r="DZ6" s="4" cm="1">
        <f t="array" ref="DZ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5.154538060441169</v>
      </c>
      <c r="EA6" s="4" cm="1">
        <f t="array" ref="EA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4.9487956715017054</v>
      </c>
      <c r="EB6" s="4" cm="1">
        <f t="array" ref="EB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4.7329572804115898</v>
      </c>
      <c r="EC6" s="4" cm="1">
        <f t="array" ref="EC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4.5070228871708178</v>
      </c>
      <c r="ED6" s="4" cm="1">
        <f t="array" ref="ED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4.2709924917793938</v>
      </c>
      <c r="EE6" s="4" cm="1">
        <f t="array" ref="EE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4.0248660942373151</v>
      </c>
      <c r="EF6" s="4" cm="1">
        <f t="array" ref="EF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3.7686436945445814</v>
      </c>
      <c r="EG6" s="4" cm="1">
        <f t="array" ref="EG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3.5023252927011943</v>
      </c>
      <c r="EH6" s="12">
        <f>(Model[[#This Row],[a1]] - Model[[#This Row],[a10]]) / Model[[#This Row],[a1]]</f>
        <v>0.36732423082496668</v>
      </c>
      <c r="EI6" s="4">
        <f>AVERAGE(Model[[#This Row],[a1]], Model[[#This Row],[a1]])</f>
        <v>5.5357348318681323</v>
      </c>
      <c r="EJ6" s="4">
        <f>AVERAGE(Model[[#This Row],[a1]], Model[[#This Row],[a2]])</f>
        <v>5.4429596395490556</v>
      </c>
      <c r="EK6" s="4">
        <f>AVERAGE(Model[[#This Row],[a2]], Model[[#This Row],[a3]])</f>
        <v>5.2523612538355735</v>
      </c>
      <c r="EL6" s="4">
        <f>AVERAGE(Model[[#This Row],[a3]], Model[[#This Row],[a4]])</f>
        <v>5.0516668659714377</v>
      </c>
      <c r="EM6" s="4">
        <f>AVERAGE(Model[[#This Row],[a4]], Model[[#This Row],[a5]])</f>
        <v>4.8408764759566481</v>
      </c>
      <c r="EN6" s="4">
        <f>AVERAGE(Model[[#This Row],[a5]], Model[[#This Row],[a6]])</f>
        <v>4.6199900837912038</v>
      </c>
      <c r="EO6" s="4">
        <f>AVERAGE(Model[[#This Row],[a6]], Model[[#This Row],[a7]])</f>
        <v>4.3890076894751058</v>
      </c>
      <c r="EP6" s="4">
        <f>AVERAGE(Model[[#This Row],[a7]], Model[[#This Row],[a8]])</f>
        <v>4.1479292930083549</v>
      </c>
      <c r="EQ6" s="4">
        <f>AVERAGE(Model[[#This Row],[a8]], Model[[#This Row],[a9]])</f>
        <v>3.8967548943909485</v>
      </c>
      <c r="ER6" s="4">
        <f>AVERAGE(Model[[#This Row],[a9]], Model[[#This Row],[a10]])</f>
        <v>3.6354844936228878</v>
      </c>
      <c r="ES6" s="4">
        <f>AVERAGE(Model[[#This Row],[Vgnd1]], Model[[#This Row],[Vgnd1]])</f>
        <v>0</v>
      </c>
      <c r="ET6" s="4">
        <f>AVERAGE(Model[[#This Row],[Vgnd1]], Model[[#This Row],[Vgnd2]])</f>
        <v>4.4042328105911794</v>
      </c>
      <c r="EU6" s="4">
        <f>AVERAGE(Model[[#This Row],[Vgnd2]], Model[[#This Row],[Vgnd3]])</f>
        <v>13.212698431773539</v>
      </c>
      <c r="EV6" s="4">
        <f>AVERAGE(Model[[#This Row],[Vgnd3]], Model[[#This Row],[Vgnd4]])</f>
        <v>22.021164052955896</v>
      </c>
      <c r="EW6" s="4">
        <f>AVERAGE(Model[[#This Row],[Vgnd4]], Model[[#This Row],[Vgnd5]])</f>
        <v>30.829629674138257</v>
      </c>
      <c r="EX6" s="4">
        <f>AVERAGE(Model[[#This Row],[Vgnd5]], Model[[#This Row],[Vgnd6]])</f>
        <v>39.63809529532061</v>
      </c>
      <c r="EY6" s="4">
        <f>AVERAGE(Model[[#This Row],[Vgnd6]], Model[[#This Row],[Vgnd7]])</f>
        <v>48.446560916502975</v>
      </c>
      <c r="EZ6" s="4">
        <f>AVERAGE(Model[[#This Row],[Vgnd7]], Model[[#This Row],[Vgnd8]])</f>
        <v>57.255026537685325</v>
      </c>
      <c r="FA6" s="4">
        <f>AVERAGE(Model[[#This Row],[Vgnd8]], Model[[#This Row],[Vgnd9]])</f>
        <v>66.063492158867689</v>
      </c>
      <c r="FB6" s="4">
        <f>AVERAGE(Model[[#This Row],[Vgnd9]], Model[[#This Row],[Vgnd10]])</f>
        <v>74.871957780050053</v>
      </c>
      <c r="FC6" s="4">
        <f>Model[[#This Row],[Vlof]] / 9</f>
        <v>8.8084656211823589</v>
      </c>
      <c r="FD6" s="4" cm="1">
        <f t="array" ref="FD6">Model[[#This Row],[Vgnd_bar1]] * Model[[#This Row],[Vgnd_int]:[Vgnd_int]] / Model[[#This Row],[a_bar1]]</f>
        <v>0</v>
      </c>
      <c r="FE6" s="4" cm="1">
        <f t="array" ref="FE6">Model[[#This Row],[Vgnd_bar2]] * Model[[#This Row],[Vgnd_int]:[Vgnd_int]] / Model[[#This Row],[a_bar2]]</f>
        <v>7.1274703229270777</v>
      </c>
      <c r="FF6" s="4" cm="1">
        <f t="array" ref="FF6">Model[[#This Row],[Vgnd_bar3]] * Model[[#This Row],[Vgnd_int]:[Vgnd_int]] / Model[[#This Row],[a_bar3]]</f>
        <v>22.158338749897936</v>
      </c>
      <c r="FG6" s="4" cm="1">
        <f t="array" ref="FG6">Model[[#This Row],[Vgnd_bar4]] * Model[[#This Row],[Vgnd_int]:[Vgnd_int]] / Model[[#This Row],[a_bar4]]</f>
        <v>38.39775496786995</v>
      </c>
      <c r="FH6" s="4" cm="1">
        <f t="array" ref="FH6">Model[[#This Row],[Vgnd_bar5]] * Model[[#This Row],[Vgnd_int]:[Vgnd_int]] / Model[[#This Row],[a_bar5]]</f>
        <v>56.097637369432086</v>
      </c>
      <c r="FI6" s="4" cm="1">
        <f t="array" ref="FI6">Model[[#This Row],[Vgnd_bar6]] * Model[[#This Row],[Vgnd_int]:[Vgnd_int]] / Model[[#This Row],[a_bar6]]</f>
        <v>75.573928377669944</v>
      </c>
      <c r="FJ6" s="4" cm="1">
        <f t="array" ref="FJ6">Model[[#This Row],[Vgnd_bar7]] * Model[[#This Row],[Vgnd_int]:[Vgnd_int]] / Model[[#This Row],[a_bar7]]</f>
        <v>97.229236421904844</v>
      </c>
      <c r="FK6" s="4" cm="1">
        <f t="array" ref="FK6">Model[[#This Row],[Vgnd_bar8]] * Model[[#This Row],[Vgnd_int]:[Vgnd_int]] / Model[[#This Row],[a_bar8]]</f>
        <v>121.58571115162665</v>
      </c>
      <c r="FL6" s="4" cm="1">
        <f t="array" ref="FL6">Model[[#This Row],[Vgnd_bar9]] * Model[[#This Row],[Vgnd_int]:[Vgnd_int]] / Model[[#This Row],[a_bar9]]</f>
        <v>149.33400105155664</v>
      </c>
      <c r="FM6" s="4" cm="1">
        <f t="array" ref="FM6">Model[[#This Row],[Vgnd_bar10]] * Model[[#This Row],[Vgnd_int]:[Vgnd_int]] / Model[[#This Row],[a_bar10]]</f>
        <v>181.40830121901195</v>
      </c>
      <c r="FN6" s="5">
        <f>SUM(Model[[#This Row],[inc1]:[inc10]])</f>
        <v>748.91237963189701</v>
      </c>
      <c r="FO6" s="16">
        <f>Model[[#This Row],[todr_cal_air]]</f>
        <v>78.9022296705716</v>
      </c>
      <c r="FP6" s="5">
        <f>(Model[[#This Row],[todr_sim_gnd]] + Model[[#This Row],[todr_sim_air]]) * (tod_mul-1)</f>
        <v>124.17219139537022</v>
      </c>
      <c r="FQ6" s="5">
        <f>SUM(Model[[#This Row],[todr_sim_gnd]:[todr_sim_reg]])</f>
        <v>951.98680069783882</v>
      </c>
      <c r="FR6" s="5">
        <f>Model[[#This Row],[todr_cal]] - Model[[#This Row],[todr_cal_reg]] - Model[[#This Row],[todr_cal_air]]</f>
        <v>748.90950537290666</v>
      </c>
      <c r="FS6" s="16">
        <f>screen_height * SIN((90 - climb_angle) * PI() / 180) / SIN(climb_angle * PI() / 180) * ft_to_m</f>
        <v>78.9022296705716</v>
      </c>
      <c r="FT6" s="5">
        <f>Model[[#This Row],[todr_cal]] - Model[[#This Row],[todr_cal]] / tod_mul</f>
        <v>124.17176025652168</v>
      </c>
      <c r="FU6" s="5" cm="1">
        <f t="array" ref="FU6">_xlfn.XLOOKUP(Model[[#This Row],[type]] &amp; Model[[#This Row],[m]], Calibration[type] &amp;  Calibration[m], Calibration[todr_cal])</f>
        <v>951.98349529999996</v>
      </c>
      <c r="FV6" s="3">
        <f>ABS(Model[[#This Row],[todr_sim]] - Model[[#This Row],[todr_cal]])</f>
        <v>3.3053978388579708E-3</v>
      </c>
      <c r="FW6" s="6">
        <f>Model[[#This Row],[diff_m]] / Model[[#This Row],[todr_cal]]</f>
        <v>3.4721167490580665E-6</v>
      </c>
      <c r="FX6"/>
      <c r="FY6"/>
      <c r="FZ6"/>
      <c r="GA6"/>
      <c r="GB6"/>
      <c r="GC6"/>
    </row>
    <row r="7" spans="1:185" x14ac:dyDescent="0.25">
      <c r="A7" s="2" t="s">
        <v>140</v>
      </c>
      <c r="B7" s="2" t="s">
        <v>226</v>
      </c>
      <c r="C7" s="2" t="s">
        <v>227</v>
      </c>
      <c r="D7" s="5">
        <v>2</v>
      </c>
      <c r="E7" s="5">
        <v>130400</v>
      </c>
      <c r="F7" s="15" cm="1">
        <f t="array" ref="F7">MAX(IF(Calibration[type] = Model[[#This Row],[type]], Calibration[m]))</f>
        <v>88000</v>
      </c>
      <c r="G7" s="5">
        <v>127</v>
      </c>
      <c r="H7" s="16">
        <v>8.3000000000000007</v>
      </c>
      <c r="I7" s="16">
        <v>34.32</v>
      </c>
      <c r="J7" s="16">
        <v>0.02</v>
      </c>
      <c r="K7" s="16">
        <v>4.2000000000000003E-2</v>
      </c>
      <c r="L7" s="16">
        <v>0.79700000000000004</v>
      </c>
      <c r="M7" s="16">
        <v>0.9</v>
      </c>
      <c r="N7" s="16">
        <v>0.15</v>
      </c>
      <c r="O7" s="16">
        <v>0.3</v>
      </c>
      <c r="P7" s="5" cm="1">
        <f t="array" ref="P7">MIN(IF(Calibration[type] = Model[[#This Row],[type]], Calibration[m]))</f>
        <v>45500</v>
      </c>
      <c r="Q7" s="5">
        <v>88000</v>
      </c>
      <c r="R7" s="5">
        <f>Model[[#This Row],[m]] * g</f>
        <v>862986.52</v>
      </c>
      <c r="S7" s="5">
        <f>Model[[#This Row],[S_clean]] * Model[[#This Row],[SfS]]</f>
        <v>38.1</v>
      </c>
      <c r="T7" s="5">
        <f>IF(WingArea = "Incl. flaps", SUM(Model[[#This Row],[S_clean]], Model[[#This Row],[S_flaps]]), Model[[#This Row],[S_clean]])</f>
        <v>127</v>
      </c>
      <c r="U7" s="14">
        <f>Model[[#This Row],[lambda_f]] * POWER(Model[[#This Row],[cfc]], 1.38) * Model[[#This Row],[SfS]] * IF(flap_unit = "Degrees", POWER(SIN(flap_angle), 2), POWER(SIN(flap_angle * PI() / 180), 2))</f>
        <v>5.9389567377877647E-4</v>
      </c>
      <c r="V7" s="13">
        <f>Model[[#This Row],[W]] / Model[[#This Row],[S_total]] * k_gear * POWER(Model[[#This Row],[maxtom]], -0.215)</f>
        <v>2.6386565003266915E-2</v>
      </c>
      <c r="W7" s="13">
        <f>SUM(Model[[#This Row],[cD0_clean]], Model[[#This Row],[cD0_flaps]], Model[[#This Row],[cD0_gear]])</f>
        <v>4.6980460677045692E-2</v>
      </c>
      <c r="X7" s="50">
        <v>1.5465225965716953</v>
      </c>
      <c r="Y7" s="3">
        <f>POWER(Model[[#This Row],[span]], 2) / Model[[#This Row],[S_total]]</f>
        <v>9.2745070866141734</v>
      </c>
      <c r="Z7" s="11">
        <f t="shared" si="3"/>
        <v>2.5999999999999999E-2</v>
      </c>
      <c r="AA7" s="11">
        <f>0.797+Model[[#This Row],[e_flaps]]</f>
        <v>0.82300000000000006</v>
      </c>
      <c r="AB7" s="11">
        <f>1 / (1 / Model[[#This Row],[k_clean]] + PI() * Model[[#This Row],[ar]] * Model[[#This Row],[e_flaps]])</f>
        <v>4.070488052843136E-2</v>
      </c>
      <c r="AC7" s="11">
        <f>Model[[#This Row],[k_total]] * POWER(Model[[#This Row],[cL]], 2)</f>
        <v>9.7355171084186953E-2</v>
      </c>
      <c r="AD7" s="11">
        <f>(Model[[#This Row],[cD0_total]] + Model[[#This Row],[cDi]])</f>
        <v>0.14433563176123265</v>
      </c>
      <c r="AE7" s="11">
        <f>Model[[#This Row],[cD]] - mu * Model[[#This Row],[cL]]</f>
        <v>0.11340517982979875</v>
      </c>
      <c r="AF7" s="3">
        <f>Model[[#This Row],[cL]] / Model[[#This Row],[cD]]</f>
        <v>10.714766532009447</v>
      </c>
      <c r="AG7" s="31">
        <f>SQRT(Model[[#This Row],[W]] / (0.5 * rho * Model[[#This Row],[S_total]] * Model[[#This Row],[cL]])) * Vs_to_Vlof</f>
        <v>93.166900860438886</v>
      </c>
      <c r="AH7" s="31">
        <v>0</v>
      </c>
      <c r="AI7" s="31" cm="1">
        <f t="array" ref="AI7">Model[[#This Row],[Vtas1]] + Model[[#This Row],[Vlof]:[Vlof]] / 9</f>
        <v>10.351877873382099</v>
      </c>
      <c r="AJ7" s="31" cm="1">
        <f t="array" ref="AJ7">Model[[#This Row],[Vtas2]] + Model[[#This Row],[Vlof]:[Vlof]] / 9</f>
        <v>20.703755746764198</v>
      </c>
      <c r="AK7" s="31" cm="1">
        <f t="array" ref="AK7">Model[[#This Row],[Vtas3]] + Model[[#This Row],[Vlof]:[Vlof]] / 9</f>
        <v>31.055633620146295</v>
      </c>
      <c r="AL7" s="31" cm="1">
        <f t="array" ref="AL7">Model[[#This Row],[Vtas4]] + Model[[#This Row],[Vlof]:[Vlof]] / 9</f>
        <v>41.407511493528396</v>
      </c>
      <c r="AM7" s="31" cm="1">
        <f t="array" ref="AM7">Model[[#This Row],[Vtas5]] + Model[[#This Row],[Vlof]:[Vlof]] / 9</f>
        <v>51.759389366910497</v>
      </c>
      <c r="AN7" s="31" cm="1">
        <f t="array" ref="AN7">Model[[#This Row],[Vtas6]] + Model[[#This Row],[Vlof]:[Vlof]] / 9</f>
        <v>62.111267240292598</v>
      </c>
      <c r="AO7" s="31" cm="1">
        <f t="array" ref="AO7">Model[[#This Row],[Vtas7]] + Model[[#This Row],[Vlof]:[Vlof]] / 9</f>
        <v>72.463145113674699</v>
      </c>
      <c r="AP7" s="31" cm="1">
        <f t="array" ref="AP7">Model[[#This Row],[Vtas8]] + Model[[#This Row],[Vlof]:[Vlof]] / 9</f>
        <v>82.815022987056793</v>
      </c>
      <c r="AQ7" s="31" cm="1">
        <f t="array" ref="AQ7">Model[[#This Row],[Vtas9]] + Model[[#This Row],[Vlof]:[Vlof]] / 9</f>
        <v>93.166900860438886</v>
      </c>
      <c r="AR7" s="31">
        <v>0</v>
      </c>
      <c r="AS7" s="31" cm="1">
        <f t="array" ref="AS7">Model[[#This Row],[Vgnd1]] + Model[[#This Row],[Vlof]:[Vlof]] / 9</f>
        <v>10.351877873382099</v>
      </c>
      <c r="AT7" s="31" cm="1">
        <f t="array" ref="AT7">Model[[#This Row],[Vgnd2]] + Model[[#This Row],[Vlof]:[Vlof]] / 9</f>
        <v>20.703755746764198</v>
      </c>
      <c r="AU7" s="31" cm="1">
        <f t="array" ref="AU7">Model[[#This Row],[Vgnd3]] + Model[[#This Row],[Vlof]:[Vlof]] / 9</f>
        <v>31.055633620146295</v>
      </c>
      <c r="AV7" s="31" cm="1">
        <f t="array" ref="AV7">Model[[#This Row],[Vgnd4]] + Model[[#This Row],[Vlof]:[Vlof]] / 9</f>
        <v>41.407511493528396</v>
      </c>
      <c r="AW7" s="31" cm="1">
        <f t="array" ref="AW7">Model[[#This Row],[Vgnd5]] + Model[[#This Row],[Vlof]:[Vlof]] / 9</f>
        <v>51.759389366910497</v>
      </c>
      <c r="AX7" s="31" cm="1">
        <f t="array" ref="AX7">Model[[#This Row],[Vgnd6]] + Model[[#This Row],[Vlof]:[Vlof]] / 9</f>
        <v>62.111267240292598</v>
      </c>
      <c r="AY7" s="31" cm="1">
        <f t="array" ref="AY7">Model[[#This Row],[Vgnd7]] + Model[[#This Row],[Vlof]:[Vlof]] / 9</f>
        <v>72.463145113674699</v>
      </c>
      <c r="AZ7" s="31" cm="1">
        <f t="array" ref="AZ7">Model[[#This Row],[Vgnd8]] + Model[[#This Row],[Vlof]:[Vlof]] / 9</f>
        <v>82.815022987056793</v>
      </c>
      <c r="BA7" s="31" cm="1">
        <f t="array" ref="BA7">Model[[#This Row],[Vgnd9]] + Model[[#This Row],[Vlof]:[Vlof]] / 9</f>
        <v>93.166900860438886</v>
      </c>
      <c r="BB7" s="33">
        <f>Model[[#This Row],[Vtas1]] / Vsnd</f>
        <v>0</v>
      </c>
      <c r="BC7" s="33">
        <f>Model[[#This Row],[Vtas2]] / Vsnd</f>
        <v>3.1233067681308953E-2</v>
      </c>
      <c r="BD7" s="33">
        <f>Model[[#This Row],[Vtas3]] / Vsnd</f>
        <v>6.2466135362617907E-2</v>
      </c>
      <c r="BE7" s="33">
        <f>Model[[#This Row],[Vtas4]] / Vsnd</f>
        <v>9.3699203043926843E-2</v>
      </c>
      <c r="BF7" s="33">
        <f>Model[[#This Row],[Vtas5]] / Vsnd</f>
        <v>0.12493227072523581</v>
      </c>
      <c r="BG7" s="33">
        <f>Model[[#This Row],[Vtas6]] / Vsnd</f>
        <v>0.15616533840654476</v>
      </c>
      <c r="BH7" s="33">
        <f>Model[[#This Row],[Vtas7]] / Vsnd</f>
        <v>0.18739840608785371</v>
      </c>
      <c r="BI7" s="33">
        <f>Model[[#This Row],[Vtas8]] / Vsnd</f>
        <v>0.21863147376916267</v>
      </c>
      <c r="BJ7" s="33">
        <f>Model[[#This Row],[Vtas9]] / Vsnd</f>
        <v>0.24986454145047163</v>
      </c>
      <c r="BK7" s="33">
        <f>Model[[#This Row],[Vtas10]] / Vsnd</f>
        <v>0.28109760913178056</v>
      </c>
      <c r="BL7" s="32">
        <f>0.5 * rho * POWER(Model[[#This Row],[Vtas1]], 2)</f>
        <v>0</v>
      </c>
      <c r="BM7" s="32">
        <f>0.5 * rho * POWER(Model[[#This Row],[Vtas2]], 2)</f>
        <v>65.636342497068469</v>
      </c>
      <c r="BN7" s="32">
        <f>0.5 * rho * POWER(Model[[#This Row],[Vtas3]], 2)</f>
        <v>262.54536998827388</v>
      </c>
      <c r="BO7" s="32">
        <f>0.5 * rho * POWER(Model[[#This Row],[Vtas4]], 2)</f>
        <v>590.72708247361606</v>
      </c>
      <c r="BP7" s="32">
        <f>0.5 * rho * POWER(Model[[#This Row],[Vtas5]], 2)</f>
        <v>1050.1814799530955</v>
      </c>
      <c r="BQ7" s="32">
        <f>0.5 * rho * POWER(Model[[#This Row],[Vtas6]], 2)</f>
        <v>1640.9085624267116</v>
      </c>
      <c r="BR7" s="32">
        <f>0.5 * rho * POWER(Model[[#This Row],[Vtas7]], 2)</f>
        <v>2362.9083298944647</v>
      </c>
      <c r="BS7" s="32">
        <f>0.5 * rho * POWER(Model[[#This Row],[Vtas8]], 2)</f>
        <v>3216.1807823563554</v>
      </c>
      <c r="BT7" s="32">
        <f>0.5 * rho * POWER(Model[[#This Row],[Vtas9]], 2)</f>
        <v>4200.725919812382</v>
      </c>
      <c r="BU7" s="32">
        <f>0.5 * rho * POWER(Model[[#This Row],[Vtas10]], 2)</f>
        <v>5316.5437422625446</v>
      </c>
      <c r="BV7" s="3">
        <f>0.0606 * Model[[#This Row],[bpr]]  + 0.6337</f>
        <v>1.1366800000000001</v>
      </c>
      <c r="BW7" s="3">
        <f t="shared" si="0"/>
        <v>1</v>
      </c>
      <c r="BX7" s="3">
        <f t="shared" si="1"/>
        <v>1.0005999999999999</v>
      </c>
      <c r="BY7" s="3">
        <f t="shared" si="2"/>
        <v>1.0066999999999999</v>
      </c>
      <c r="BZ7" s="4" cm="1">
        <f t="array" ref="BZ7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7" s="4" cm="1">
        <f t="array" ref="CA7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0.96374994415463011</v>
      </c>
      <c r="CB7" s="4" cm="1">
        <f t="array" ref="CB7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0.92901748287479824</v>
      </c>
      <c r="CC7" s="4" cm="1">
        <f t="array" ref="CC7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0.89580261616050449</v>
      </c>
      <c r="CD7" s="4" cm="1">
        <f t="array" ref="CD7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0.86410534401174888</v>
      </c>
      <c r="CE7" s="4" cm="1">
        <f t="array" ref="CE7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0.83392566642853139</v>
      </c>
      <c r="CF7" s="4" cm="1">
        <f t="array" ref="CF7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0.80526358341085202</v>
      </c>
      <c r="CG7" s="4" cm="1">
        <f t="array" ref="CG7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0.77811909495871068</v>
      </c>
      <c r="CH7" s="4" cm="1">
        <f t="array" ref="CH7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0.75249220107210735</v>
      </c>
      <c r="CI7" s="4" cm="1">
        <f t="array" ref="CI7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0.72838290175104237</v>
      </c>
      <c r="CJ7" s="32" cm="1">
        <f t="array" ref="CJ7">Model[[#This Row],[tr1]] * Model[[#This Row],[slst]:[slst]] * n</f>
        <v>260800</v>
      </c>
      <c r="CK7" s="32" cm="1">
        <f t="array" ref="CK7">Model[[#This Row],[tr2]] * Model[[#This Row],[slst]:[slst]] * n</f>
        <v>251345.98543552755</v>
      </c>
      <c r="CL7" s="32" cm="1">
        <f t="array" ref="CL7">Model[[#This Row],[tr3]] * Model[[#This Row],[slst]:[slst]] * n</f>
        <v>242287.75953374739</v>
      </c>
      <c r="CM7" s="32" cm="1">
        <f t="array" ref="CM7">Model[[#This Row],[tr4]] * Model[[#This Row],[slst]:[slst]] * n</f>
        <v>233625.32229465956</v>
      </c>
      <c r="CN7" s="32" cm="1">
        <f t="array" ref="CN7">Model[[#This Row],[tr5]] * Model[[#This Row],[slst]:[slst]] * n</f>
        <v>225358.67371826409</v>
      </c>
      <c r="CO7" s="32" cm="1">
        <f t="array" ref="CO7">Model[[#This Row],[tr6]] * Model[[#This Row],[slst]:[slst]] * n</f>
        <v>217487.81380456098</v>
      </c>
      <c r="CP7" s="32" cm="1">
        <f t="array" ref="CP7">Model[[#This Row],[tr7]] * Model[[#This Row],[slst]:[slst]] * n</f>
        <v>210012.7425535502</v>
      </c>
      <c r="CQ7" s="32" cm="1">
        <f t="array" ref="CQ7">Model[[#This Row],[tr8]] * Model[[#This Row],[slst]:[slst]] * n</f>
        <v>202933.45996523174</v>
      </c>
      <c r="CR7" s="32" cm="1">
        <f t="array" ref="CR7">Model[[#This Row],[tr9]] * Model[[#This Row],[slst]:[slst]] * n</f>
        <v>196249.96603960558</v>
      </c>
      <c r="CS7" s="32" cm="1">
        <f t="array" ref="CS7">Model[[#This Row],[tr10]] * Model[[#This Row],[slst]:[slst]] * n</f>
        <v>189962.26077667184</v>
      </c>
      <c r="CT7" s="32">
        <f>Model[[#This Row],[Fmax1]] * (100 - rto) / 100</f>
        <v>260800</v>
      </c>
      <c r="CU7" s="32">
        <f>Model[[#This Row],[Fmax2]] * (100 - rto) / 100</f>
        <v>251345.98543552757</v>
      </c>
      <c r="CV7" s="32">
        <f>Model[[#This Row],[Fmax3]] * (100 - rto) / 100</f>
        <v>242287.75953374739</v>
      </c>
      <c r="CW7" s="32">
        <f>Model[[#This Row],[Fmax4]] * (100 - rto) / 100</f>
        <v>233625.32229465956</v>
      </c>
      <c r="CX7" s="32">
        <f>Model[[#This Row],[Fmax5]] * (100 - rto) / 100</f>
        <v>225358.67371826409</v>
      </c>
      <c r="CY7" s="32">
        <f>Model[[#This Row],[Fmax6]] * (100 - rto) / 100</f>
        <v>217487.81380456098</v>
      </c>
      <c r="CZ7" s="32">
        <f>Model[[#This Row],[Fmax7]] * (100 - rto) / 100</f>
        <v>210012.7425535502</v>
      </c>
      <c r="DA7" s="32">
        <f>Model[[#This Row],[Fmax8]] * (100 - rto) / 100</f>
        <v>202933.45996523174</v>
      </c>
      <c r="DB7" s="32">
        <f>Model[[#This Row],[Fmax9]] * (100 - rto) / 100</f>
        <v>196249.96603960558</v>
      </c>
      <c r="DC7" s="32">
        <f>Model[[#This Row],[Fmax10]] * (100 - rto) / 100</f>
        <v>189962.26077667184</v>
      </c>
      <c r="DD7" s="32" cm="1">
        <f t="array" ref="DD7">Model[[#This Row],[cL]:[cL]] * 0.5 * rho * POWER(Model[[#This Row],[Vtas1]], 2) * Model[[#This Row],[S_total]:[S_total]]</f>
        <v>0</v>
      </c>
      <c r="DE7" s="32" cm="1">
        <f t="array" ref="DE7">Model[[#This Row],[cL]:[cL]] * 0.5 * rho * POWER(Model[[#This Row],[Vtas2]], 2) * Model[[#This Row],[S_total]:[S_total]]</f>
        <v>12891.5270271605</v>
      </c>
      <c r="DF7" s="32" cm="1">
        <f t="array" ref="DF7">Model[[#This Row],[cL]:[cL]] * 0.5 * rho * POWER(Model[[#This Row],[Vtas3]], 2) * Model[[#This Row],[S_total]:[S_total]]</f>
        <v>51566.108108642002</v>
      </c>
      <c r="DG7" s="32" cm="1">
        <f t="array" ref="DG7">Model[[#This Row],[cL]:[cL]] * 0.5 * rho * POWER(Model[[#This Row],[Vtas4]], 2) * Model[[#This Row],[S_total]:[S_total]]</f>
        <v>116023.74324444449</v>
      </c>
      <c r="DH7" s="32" cm="1">
        <f t="array" ref="DH7">Model[[#This Row],[cL]:[cL]] * 0.5 * rho * POWER(Model[[#This Row],[Vtas5]], 2) * Model[[#This Row],[S_total]:[S_total]]</f>
        <v>206264.43243456801</v>
      </c>
      <c r="DI7" s="32" cm="1">
        <f t="array" ref="DI7">Model[[#This Row],[cL]:[cL]] * 0.5 * rho * POWER(Model[[#This Row],[Vtas6]], 2) * Model[[#This Row],[S_total]:[S_total]]</f>
        <v>322288.17567901249</v>
      </c>
      <c r="DJ7" s="32" cm="1">
        <f t="array" ref="DJ7">Model[[#This Row],[cL]:[cL]] * 0.5 * rho * POWER(Model[[#This Row],[Vtas7]], 2) * Model[[#This Row],[S_total]:[S_total]]</f>
        <v>464094.97297777806</v>
      </c>
      <c r="DK7" s="32" cm="1">
        <f t="array" ref="DK7">Model[[#This Row],[cL]:[cL]] * 0.5 * rho * POWER(Model[[#This Row],[Vtas8]], 2) * Model[[#This Row],[S_total]:[S_total]]</f>
        <v>631684.82433086471</v>
      </c>
      <c r="DL7" s="32" cm="1">
        <f t="array" ref="DL7">Model[[#This Row],[cL]:[cL]] * 0.5 * rho * POWER(Model[[#This Row],[Vtas9]], 2) * Model[[#This Row],[S_total]:[S_total]]</f>
        <v>825057.72973827203</v>
      </c>
      <c r="DM7" s="32" cm="1">
        <f t="array" ref="DM7">Model[[#This Row],[cL]:[cL]] * 0.5 * rho * POWER(Model[[#This Row],[Vtas10]], 2) * Model[[#This Row],[S_total]:[S_total]]</f>
        <v>1044213.6892000004</v>
      </c>
      <c r="DN7" s="32" cm="1">
        <f t="array" ref="DN7">Model[[#This Row],[cD]:[cD]] * 0.5 * rho * POWER(Model[[#This Row],[Vtas1]], 2) * Model[[#This Row],[S_total]:[S_total]]</f>
        <v>0</v>
      </c>
      <c r="DO7" s="32" cm="1">
        <f t="array" ref="DO7">Model[[#This Row],[cD]:[cD]] * 0.5 * rho * POWER(Model[[#This Row],[Vtas2]], 2) * Model[[#This Row],[S_total]:[S_total]]</f>
        <v>1203.1551960229995</v>
      </c>
      <c r="DP7" s="32" cm="1">
        <f t="array" ref="DP7">Model[[#This Row],[cD]:[cD]] * 0.5 * rho * POWER(Model[[#This Row],[Vtas3]], 2) * Model[[#This Row],[S_total]:[S_total]]</f>
        <v>4812.6207840919978</v>
      </c>
      <c r="DQ7" s="32" cm="1">
        <f t="array" ref="DQ7">Model[[#This Row],[cD]:[cD]] * 0.5 * rho * POWER(Model[[#This Row],[Vtas4]], 2) * Model[[#This Row],[S_total]:[S_total]]</f>
        <v>10828.396764206995</v>
      </c>
      <c r="DR7" s="32" cm="1">
        <f t="array" ref="DR7">Model[[#This Row],[cD]:[cD]] * 0.5 * rho * POWER(Model[[#This Row],[Vtas5]], 2) * Model[[#This Row],[S_total]:[S_total]]</f>
        <v>19250.483136367991</v>
      </c>
      <c r="DS7" s="32" cm="1">
        <f t="array" ref="DS7">Model[[#This Row],[cD]:[cD]] * 0.5 * rho * POWER(Model[[#This Row],[Vtas6]], 2) * Model[[#This Row],[S_total]:[S_total]]</f>
        <v>30078.879900574986</v>
      </c>
      <c r="DT7" s="32" cm="1">
        <f t="array" ref="DT7">Model[[#This Row],[cD]:[cD]] * 0.5 * rho * POWER(Model[[#This Row],[Vtas7]], 2) * Model[[#This Row],[S_total]:[S_total]]</f>
        <v>43313.587056827986</v>
      </c>
      <c r="DU7" s="32" cm="1">
        <f t="array" ref="DU7">Model[[#This Row],[cD]:[cD]] * 0.5 * rho * POWER(Model[[#This Row],[Vtas8]], 2) * Model[[#This Row],[S_total]:[S_total]]</f>
        <v>58954.604605126988</v>
      </c>
      <c r="DV7" s="32" cm="1">
        <f t="array" ref="DV7">Model[[#This Row],[cD]:[cD]] * 0.5 * rho * POWER(Model[[#This Row],[Vtas9]], 2) * Model[[#This Row],[S_total]:[S_total]]</f>
        <v>77001.932545471966</v>
      </c>
      <c r="DW7" s="32" cm="1">
        <f t="array" ref="DW7">Model[[#This Row],[cD]:[cD]] * 0.5 * rho * POWER(Model[[#This Row],[Vtas10]], 2) * Model[[#This Row],[S_total]:[S_total]]</f>
        <v>97455.570877862934</v>
      </c>
      <c r="DX7" s="4" cm="1">
        <f t="array" ref="DX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DY7" s="4" cm="1">
        <f t="array" ref="DY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2.6493287543187249</v>
      </c>
      <c r="DZ7" s="4" cm="1">
        <f t="array" ref="DZ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2.5141673921798664</v>
      </c>
      <c r="EA7" s="4" cm="1">
        <f t="array" ref="EA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2.3620189772197895</v>
      </c>
      <c r="EB7" s="4" cm="1">
        <f t="array" ref="EB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2.1928835094384942</v>
      </c>
      <c r="EC7" s="4" cm="1">
        <f t="array" ref="EC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2.0067609888359801</v>
      </c>
      <c r="ED7" s="4" cm="1">
        <f t="array" ref="ED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1.8036514154122476</v>
      </c>
      <c r="EE7" s="4" cm="1">
        <f t="array" ref="EE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1.5835547891672963</v>
      </c>
      <c r="EF7" s="4" cm="1">
        <f t="array" ref="EF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1.3464711101011255</v>
      </c>
      <c r="EG7" s="4" cm="1">
        <f t="array" ref="EG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1.0924003782137375</v>
      </c>
      <c r="EH7" s="12">
        <f>(Model[[#This Row],[a1]] - Model[[#This Row],[a10]]) / Model[[#This Row],[a1]]</f>
        <v>0.60527581972090871</v>
      </c>
      <c r="EI7" s="4">
        <f>AVERAGE(Model[[#This Row],[a1]], Model[[#This Row],[a1]])</f>
        <v>2.7675030636363638</v>
      </c>
      <c r="EJ7" s="4">
        <f>AVERAGE(Model[[#This Row],[a1]], Model[[#This Row],[a2]])</f>
        <v>2.7084159089775444</v>
      </c>
      <c r="EK7" s="4">
        <f>AVERAGE(Model[[#This Row],[a2]], Model[[#This Row],[a3]])</f>
        <v>2.5817480732492957</v>
      </c>
      <c r="EL7" s="4">
        <f>AVERAGE(Model[[#This Row],[a3]], Model[[#This Row],[a4]])</f>
        <v>2.4380931846998282</v>
      </c>
      <c r="EM7" s="4">
        <f>AVERAGE(Model[[#This Row],[a4]], Model[[#This Row],[a5]])</f>
        <v>2.2774512433291418</v>
      </c>
      <c r="EN7" s="4">
        <f>AVERAGE(Model[[#This Row],[a5]], Model[[#This Row],[a6]])</f>
        <v>2.0998222491372371</v>
      </c>
      <c r="EO7" s="4">
        <f>AVERAGE(Model[[#This Row],[a6]], Model[[#This Row],[a7]])</f>
        <v>1.9052062021241138</v>
      </c>
      <c r="EP7" s="4">
        <f>AVERAGE(Model[[#This Row],[a7]], Model[[#This Row],[a8]])</f>
        <v>1.693603102289772</v>
      </c>
      <c r="EQ7" s="4">
        <f>AVERAGE(Model[[#This Row],[a8]], Model[[#This Row],[a9]])</f>
        <v>1.465012949634211</v>
      </c>
      <c r="ER7" s="4">
        <f>AVERAGE(Model[[#This Row],[a9]], Model[[#This Row],[a10]])</f>
        <v>1.2194357441574315</v>
      </c>
      <c r="ES7" s="4">
        <f>AVERAGE(Model[[#This Row],[Vgnd1]], Model[[#This Row],[Vgnd1]])</f>
        <v>0</v>
      </c>
      <c r="ET7" s="4">
        <f>AVERAGE(Model[[#This Row],[Vgnd1]], Model[[#This Row],[Vgnd2]])</f>
        <v>5.1759389366910495</v>
      </c>
      <c r="EU7" s="4">
        <f>AVERAGE(Model[[#This Row],[Vgnd2]], Model[[#This Row],[Vgnd3]])</f>
        <v>15.527816810073148</v>
      </c>
      <c r="EV7" s="4">
        <f>AVERAGE(Model[[#This Row],[Vgnd3]], Model[[#This Row],[Vgnd4]])</f>
        <v>25.879694683455249</v>
      </c>
      <c r="EW7" s="4">
        <f>AVERAGE(Model[[#This Row],[Vgnd4]], Model[[#This Row],[Vgnd5]])</f>
        <v>36.231572556837349</v>
      </c>
      <c r="EX7" s="4">
        <f>AVERAGE(Model[[#This Row],[Vgnd5]], Model[[#This Row],[Vgnd6]])</f>
        <v>46.583450430219443</v>
      </c>
      <c r="EY7" s="4">
        <f>AVERAGE(Model[[#This Row],[Vgnd6]], Model[[#This Row],[Vgnd7]])</f>
        <v>56.935328303601551</v>
      </c>
      <c r="EZ7" s="4">
        <f>AVERAGE(Model[[#This Row],[Vgnd7]], Model[[#This Row],[Vgnd8]])</f>
        <v>67.287206176983645</v>
      </c>
      <c r="FA7" s="4">
        <f>AVERAGE(Model[[#This Row],[Vgnd8]], Model[[#This Row],[Vgnd9]])</f>
        <v>77.639084050365739</v>
      </c>
      <c r="FB7" s="4">
        <f>AVERAGE(Model[[#This Row],[Vgnd9]], Model[[#This Row],[Vgnd10]])</f>
        <v>87.990961923747847</v>
      </c>
      <c r="FC7" s="4">
        <f>Model[[#This Row],[Vlof]] / 9</f>
        <v>10.351877873382099</v>
      </c>
      <c r="FD7" s="4" cm="1">
        <f t="array" ref="FD7">Model[[#This Row],[Vgnd_bar1]] * Model[[#This Row],[Vgnd_int]:[Vgnd_int]] / Model[[#This Row],[a_bar1]]</f>
        <v>0</v>
      </c>
      <c r="FE7" s="4" cm="1">
        <f t="array" ref="FE7">Model[[#This Row],[Vgnd_bar2]] * Model[[#This Row],[Vgnd_int]:[Vgnd_int]] / Model[[#This Row],[a_bar2]]</f>
        <v>19.783035380609704</v>
      </c>
      <c r="FF7" s="4" cm="1">
        <f t="array" ref="FF7">Model[[#This Row],[Vgnd_bar3]] * Model[[#This Row],[Vgnd_int]:[Vgnd_int]] / Model[[#This Row],[a_bar3]]</f>
        <v>62.260940532366746</v>
      </c>
      <c r="FG7" s="4" cm="1">
        <f t="array" ref="FG7">Model[[#This Row],[Vgnd_bar4]] * Model[[#This Row],[Vgnd_int]:[Vgnd_int]] / Model[[#This Row],[a_bar4]]</f>
        <v>109.88236234970991</v>
      </c>
      <c r="FH7" s="4" cm="1">
        <f t="array" ref="FH7">Model[[#This Row],[Vgnd_bar5]] * Model[[#This Row],[Vgnd_int]:[Vgnd_int]] / Model[[#This Row],[a_bar5]]</f>
        <v>164.68621023943368</v>
      </c>
      <c r="FI7" s="4" cm="1">
        <f t="array" ref="FI7">Model[[#This Row],[Vgnd_bar6]] * Model[[#This Row],[Vgnd_int]:[Vgnd_int]] / Model[[#This Row],[a_bar6]]</f>
        <v>229.65095734770637</v>
      </c>
      <c r="FJ7" s="4" cm="1">
        <f t="array" ref="FJ7">Model[[#This Row],[Vgnd_bar7]] * Model[[#This Row],[Vgnd_int]:[Vgnd_int]] / Model[[#This Row],[a_bar7]]</f>
        <v>309.35631252023558</v>
      </c>
      <c r="FK7" s="4" cm="1">
        <f t="array" ref="FK7">Model[[#This Row],[Vgnd_bar8]] * Model[[#This Row],[Vgnd_int]:[Vgnd_int]] / Model[[#This Row],[a_bar8]]</f>
        <v>411.28227731956417</v>
      </c>
      <c r="FL7" s="4" cm="1">
        <f t="array" ref="FL7">Model[[#This Row],[Vgnd_bar9]] * Model[[#This Row],[Vgnd_int]:[Vgnd_int]] / Model[[#This Row],[a_bar9]]</f>
        <v>548.60287514271261</v>
      </c>
      <c r="FM7" s="4" cm="1">
        <f t="array" ref="FM7">Model[[#This Row],[Vgnd_bar10]] * Model[[#This Row],[Vgnd_int]:[Vgnd_int]] / Model[[#This Row],[a_bar10]]</f>
        <v>746.96161414016808</v>
      </c>
      <c r="FN7" s="5">
        <f>SUM(Model[[#This Row],[inc1]:[inc10]])</f>
        <v>2602.4665849725066</v>
      </c>
      <c r="FO7" s="16">
        <f>Model[[#This Row],[todr_cal_air]]</f>
        <v>78.9022296705716</v>
      </c>
      <c r="FP7" s="5">
        <f>(Model[[#This Row],[todr_sim_gnd]] + Model[[#This Row],[todr_sim_air]]) * (tod_mul-1)</f>
        <v>402.20532219646151</v>
      </c>
      <c r="FQ7" s="5">
        <f>SUM(Model[[#This Row],[todr_sim_gnd]:[todr_sim_reg]])</f>
        <v>3083.5741368395397</v>
      </c>
      <c r="FR7" s="5">
        <f>Model[[#This Row],[todr_cal]] - Model[[#This Row],[todr_cal_reg]] - Model[[#This Row],[todr_cal_air]]</f>
        <v>2602.4633164163852</v>
      </c>
      <c r="FS7" s="16">
        <f>screen_height * SIN((90 - climb_angle) * PI() / 180) / SIN(climb_angle * PI() / 180) * ft_to_m</f>
        <v>78.9022296705716</v>
      </c>
      <c r="FT7" s="5">
        <f>Model[[#This Row],[todr_cal]] - Model[[#This Row],[todr_cal]] / tod_mul</f>
        <v>402.20483191304311</v>
      </c>
      <c r="FU7" s="5" cm="1">
        <f t="array" ref="FU7">_xlfn.XLOOKUP(Model[[#This Row],[type]] &amp; Model[[#This Row],[m]], Calibration[type] &amp;  Calibration[m], Calibration[todr_cal])</f>
        <v>3083.5703779999999</v>
      </c>
      <c r="FV7" s="3">
        <f>ABS(Model[[#This Row],[todr_sim]] - Model[[#This Row],[todr_cal]])</f>
        <v>3.7588395398415742E-3</v>
      </c>
      <c r="FW7" s="6">
        <f>Model[[#This Row],[diff_m]] / Model[[#This Row],[todr_cal]]</f>
        <v>1.2189893788899194E-6</v>
      </c>
      <c r="FX7"/>
      <c r="FY7"/>
      <c r="FZ7"/>
      <c r="GA7"/>
      <c r="GB7"/>
      <c r="GC7"/>
    </row>
    <row r="8" spans="1:185" x14ac:dyDescent="0.25">
      <c r="A8" s="2" t="s">
        <v>142</v>
      </c>
      <c r="B8" s="2" t="s">
        <v>228</v>
      </c>
      <c r="C8" s="2" t="s">
        <v>229</v>
      </c>
      <c r="D8" s="5">
        <v>2</v>
      </c>
      <c r="E8" s="5">
        <v>350900</v>
      </c>
      <c r="F8" s="15" cm="1">
        <f t="array" ref="F8">MAX(IF(Calibration[type] = Model[[#This Row],[type]], Calibration[m]))</f>
        <v>254000</v>
      </c>
      <c r="G8" s="5">
        <v>377</v>
      </c>
      <c r="H8" s="16">
        <v>9.0399999999999991</v>
      </c>
      <c r="I8" s="16">
        <v>60.12</v>
      </c>
      <c r="J8" s="16">
        <v>2.1999999999999999E-2</v>
      </c>
      <c r="K8" s="16">
        <v>4.2000000000000003E-2</v>
      </c>
      <c r="L8" s="16">
        <v>0.78300000000000003</v>
      </c>
      <c r="M8" s="16">
        <v>0.9</v>
      </c>
      <c r="N8" s="16">
        <v>0.15</v>
      </c>
      <c r="O8" s="16">
        <v>0.24</v>
      </c>
      <c r="P8" s="5" cm="1">
        <f t="array" ref="P8">MIN(IF(Calibration[type] = Model[[#This Row],[type]], Calibration[m]))</f>
        <v>175000</v>
      </c>
      <c r="Q8" s="49">
        <v>175000</v>
      </c>
      <c r="R8" s="5">
        <f>Model[[#This Row],[m]] * g</f>
        <v>1716166.375</v>
      </c>
      <c r="S8" s="5">
        <f>Model[[#This Row],[S_clean]] * Model[[#This Row],[SfS]]</f>
        <v>90.47999999999999</v>
      </c>
      <c r="T8" s="5">
        <f>IF(WingArea = "Incl. flaps", SUM(Model[[#This Row],[S_clean]], Model[[#This Row],[S_flaps]]), Model[[#This Row],[S_clean]])</f>
        <v>377</v>
      </c>
      <c r="U8" s="14">
        <f>Model[[#This Row],[lambda_f]] * POWER(Model[[#This Row],[cfc]], 1.38) * Model[[#This Row],[SfS]] * IF(flap_unit = "Degrees", POWER(SIN(flap_angle), 2), POWER(SIN(flap_angle * PI() / 180), 2))</f>
        <v>4.7511653902302119E-4</v>
      </c>
      <c r="V8" s="13">
        <f>Model[[#This Row],[W]] / Model[[#This Row],[S_total]] * k_gear * POWER(Model[[#This Row],[maxtom]], -0.215)</f>
        <v>1.4074245760109504E-2</v>
      </c>
      <c r="W8" s="13">
        <f>SUM(Model[[#This Row],[cD0_clean]], Model[[#This Row],[cD0_flaps]], Model[[#This Row],[cD0_gear]])</f>
        <v>3.6549362299132526E-2</v>
      </c>
      <c r="X8" s="50">
        <v>1.3216194445590621</v>
      </c>
      <c r="Y8" s="3">
        <f>POWER(Model[[#This Row],[span]], 2) / Model[[#This Row],[S_total]]</f>
        <v>9.5873061007957556</v>
      </c>
      <c r="Z8" s="11">
        <f t="shared" si="3"/>
        <v>2.5999999999999999E-2</v>
      </c>
      <c r="AA8" s="11">
        <f>0.783+Model[[#This Row],[e_flaps]]</f>
        <v>0.80900000000000005</v>
      </c>
      <c r="AB8" s="11">
        <f>1 / (1 / Model[[#This Row],[k_clean]] + PI() * Model[[#This Row],[ar]] * Model[[#This Row],[e_flaps]])</f>
        <v>4.0662591263946175E-2</v>
      </c>
      <c r="AC8" s="11">
        <f>Model[[#This Row],[k_total]] * POWER(Model[[#This Row],[cL]], 2)</f>
        <v>7.1024451804193894E-2</v>
      </c>
      <c r="AD8" s="11">
        <f>(Model[[#This Row],[cD0_total]] + Model[[#This Row],[cDi]])</f>
        <v>0.10757381410332642</v>
      </c>
      <c r="AE8" s="11">
        <f>Model[[#This Row],[cD]] - mu * Model[[#This Row],[cL]]</f>
        <v>8.114142521214518E-2</v>
      </c>
      <c r="AF8" s="3">
        <f>Model[[#This Row],[cL]] / Model[[#This Row],[cD]]</f>
        <v>12.28569848132023</v>
      </c>
      <c r="AG8" s="31">
        <f>SQRT(Model[[#This Row],[W]] / (0.5 * rho * Model[[#This Row],[S_total]] * Model[[#This Row],[cL]])) * Vs_to_Vlof</f>
        <v>82.488887789380485</v>
      </c>
      <c r="AH8" s="31">
        <v>0</v>
      </c>
      <c r="AI8" s="31" cm="1">
        <f t="array" ref="AI8">Model[[#This Row],[Vtas1]] + Model[[#This Row],[Vlof]:[Vlof]] / 9</f>
        <v>9.1654319765978318</v>
      </c>
      <c r="AJ8" s="31" cm="1">
        <f t="array" ref="AJ8">Model[[#This Row],[Vtas2]] + Model[[#This Row],[Vlof]:[Vlof]] / 9</f>
        <v>18.330863953195664</v>
      </c>
      <c r="AK8" s="31" cm="1">
        <f t="array" ref="AK8">Model[[#This Row],[Vtas3]] + Model[[#This Row],[Vlof]:[Vlof]] / 9</f>
        <v>27.496295929793497</v>
      </c>
      <c r="AL8" s="31" cm="1">
        <f t="array" ref="AL8">Model[[#This Row],[Vtas4]] + Model[[#This Row],[Vlof]:[Vlof]] / 9</f>
        <v>36.661727906391327</v>
      </c>
      <c r="AM8" s="31" cm="1">
        <f t="array" ref="AM8">Model[[#This Row],[Vtas5]] + Model[[#This Row],[Vlof]:[Vlof]] / 9</f>
        <v>45.827159882989157</v>
      </c>
      <c r="AN8" s="31" cm="1">
        <f t="array" ref="AN8">Model[[#This Row],[Vtas6]] + Model[[#This Row],[Vlof]:[Vlof]] / 9</f>
        <v>54.992591859586987</v>
      </c>
      <c r="AO8" s="31" cm="1">
        <f t="array" ref="AO8">Model[[#This Row],[Vtas7]] + Model[[#This Row],[Vlof]:[Vlof]] / 9</f>
        <v>64.158023836184825</v>
      </c>
      <c r="AP8" s="31" cm="1">
        <f t="array" ref="AP8">Model[[#This Row],[Vtas8]] + Model[[#This Row],[Vlof]:[Vlof]] / 9</f>
        <v>73.323455812782655</v>
      </c>
      <c r="AQ8" s="31" cm="1">
        <f t="array" ref="AQ8">Model[[#This Row],[Vtas9]] + Model[[#This Row],[Vlof]:[Vlof]] / 9</f>
        <v>82.488887789380485</v>
      </c>
      <c r="AR8" s="31">
        <v>0</v>
      </c>
      <c r="AS8" s="31" cm="1">
        <f t="array" ref="AS8">Model[[#This Row],[Vgnd1]] + Model[[#This Row],[Vlof]:[Vlof]] / 9</f>
        <v>9.1654319765978318</v>
      </c>
      <c r="AT8" s="31" cm="1">
        <f t="array" ref="AT8">Model[[#This Row],[Vgnd2]] + Model[[#This Row],[Vlof]:[Vlof]] / 9</f>
        <v>18.330863953195664</v>
      </c>
      <c r="AU8" s="31" cm="1">
        <f t="array" ref="AU8">Model[[#This Row],[Vgnd3]] + Model[[#This Row],[Vlof]:[Vlof]] / 9</f>
        <v>27.496295929793497</v>
      </c>
      <c r="AV8" s="31" cm="1">
        <f t="array" ref="AV8">Model[[#This Row],[Vgnd4]] + Model[[#This Row],[Vlof]:[Vlof]] / 9</f>
        <v>36.661727906391327</v>
      </c>
      <c r="AW8" s="31" cm="1">
        <f t="array" ref="AW8">Model[[#This Row],[Vgnd5]] + Model[[#This Row],[Vlof]:[Vlof]] / 9</f>
        <v>45.827159882989157</v>
      </c>
      <c r="AX8" s="31" cm="1">
        <f t="array" ref="AX8">Model[[#This Row],[Vgnd6]] + Model[[#This Row],[Vlof]:[Vlof]] / 9</f>
        <v>54.992591859586987</v>
      </c>
      <c r="AY8" s="31" cm="1">
        <f t="array" ref="AY8">Model[[#This Row],[Vgnd7]] + Model[[#This Row],[Vlof]:[Vlof]] / 9</f>
        <v>64.158023836184825</v>
      </c>
      <c r="AZ8" s="31" cm="1">
        <f t="array" ref="AZ8">Model[[#This Row],[Vgnd8]] + Model[[#This Row],[Vlof]:[Vlof]] / 9</f>
        <v>73.323455812782655</v>
      </c>
      <c r="BA8" s="31" cm="1">
        <f t="array" ref="BA8">Model[[#This Row],[Vgnd9]] + Model[[#This Row],[Vlof]:[Vlof]] / 9</f>
        <v>82.488887789380485</v>
      </c>
      <c r="BB8" s="33">
        <f>Model[[#This Row],[Vtas1]] / Vsnd</f>
        <v>0</v>
      </c>
      <c r="BC8" s="33">
        <f>Model[[#This Row],[Vtas2]] / Vsnd</f>
        <v>2.7653393978844039E-2</v>
      </c>
      <c r="BD8" s="33">
        <f>Model[[#This Row],[Vtas3]] / Vsnd</f>
        <v>5.5306787957688078E-2</v>
      </c>
      <c r="BE8" s="33">
        <f>Model[[#This Row],[Vtas4]] / Vsnd</f>
        <v>8.2960181936532124E-2</v>
      </c>
      <c r="BF8" s="33">
        <f>Model[[#This Row],[Vtas5]] / Vsnd</f>
        <v>0.11061357591537616</v>
      </c>
      <c r="BG8" s="33">
        <f>Model[[#This Row],[Vtas6]] / Vsnd</f>
        <v>0.13826696989422019</v>
      </c>
      <c r="BH8" s="33">
        <f>Model[[#This Row],[Vtas7]] / Vsnd</f>
        <v>0.16592036387306422</v>
      </c>
      <c r="BI8" s="33">
        <f>Model[[#This Row],[Vtas8]] / Vsnd</f>
        <v>0.19357375785190828</v>
      </c>
      <c r="BJ8" s="33">
        <f>Model[[#This Row],[Vtas9]] / Vsnd</f>
        <v>0.22122715183075231</v>
      </c>
      <c r="BK8" s="33">
        <f>Model[[#This Row],[Vtas10]] / Vsnd</f>
        <v>0.24888054580959634</v>
      </c>
      <c r="BL8" s="32">
        <f>0.5 * rho * POWER(Model[[#This Row],[Vtas1]], 2)</f>
        <v>0</v>
      </c>
      <c r="BM8" s="32">
        <f>0.5 * rho * POWER(Model[[#This Row],[Vtas2]], 2)</f>
        <v>51.453150282055752</v>
      </c>
      <c r="BN8" s="32">
        <f>0.5 * rho * POWER(Model[[#This Row],[Vtas3]], 2)</f>
        <v>205.81260112822301</v>
      </c>
      <c r="BO8" s="32">
        <f>0.5 * rho * POWER(Model[[#This Row],[Vtas4]], 2)</f>
        <v>463.0783525385018</v>
      </c>
      <c r="BP8" s="32">
        <f>0.5 * rho * POWER(Model[[#This Row],[Vtas5]], 2)</f>
        <v>823.25040451289203</v>
      </c>
      <c r="BQ8" s="32">
        <f>0.5 * rho * POWER(Model[[#This Row],[Vtas6]], 2)</f>
        <v>1286.3287570513937</v>
      </c>
      <c r="BR8" s="32">
        <f>0.5 * rho * POWER(Model[[#This Row],[Vtas7]], 2)</f>
        <v>1852.3134101540068</v>
      </c>
      <c r="BS8" s="32">
        <f>0.5 * rho * POWER(Model[[#This Row],[Vtas8]], 2)</f>
        <v>2521.2043638207319</v>
      </c>
      <c r="BT8" s="32">
        <f>0.5 * rho * POWER(Model[[#This Row],[Vtas9]], 2)</f>
        <v>3293.0016180515681</v>
      </c>
      <c r="BU8" s="32">
        <f>0.5 * rho * POWER(Model[[#This Row],[Vtas10]], 2)</f>
        <v>4167.7051728465158</v>
      </c>
      <c r="BV8" s="3">
        <f>0.0606 * Model[[#This Row],[bpr]]  + 0.6337</f>
        <v>1.181524</v>
      </c>
      <c r="BW8" s="3">
        <f t="shared" si="0"/>
        <v>1</v>
      </c>
      <c r="BX8" s="3">
        <f t="shared" si="1"/>
        <v>1.0005999999999999</v>
      </c>
      <c r="BY8" s="3">
        <f t="shared" si="2"/>
        <v>1.0066999999999999</v>
      </c>
      <c r="BZ8" s="4" cm="1">
        <f t="array" ref="BZ8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8" s="4" cm="1">
        <f t="array" ref="CA8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0.96719113554672431</v>
      </c>
      <c r="CB8" s="4" cm="1">
        <f t="array" ref="CB8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0.93560847781207757</v>
      </c>
      <c r="CC8" s="4" cm="1">
        <f t="array" ref="CC8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0.90525202679605965</v>
      </c>
      <c r="CD8" s="4" cm="1">
        <f t="array" ref="CD8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0.8761217824986709</v>
      </c>
      <c r="CE8" s="4" cm="1">
        <f t="array" ref="CE8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0.84821774491991109</v>
      </c>
      <c r="CF8" s="4" cm="1">
        <f t="array" ref="CF8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0.82153991405978022</v>
      </c>
      <c r="CG8" s="4" cm="1">
        <f t="array" ref="CG8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0.7960882899182784</v>
      </c>
      <c r="CH8" s="4" cm="1">
        <f t="array" ref="CH8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0.77186287249540553</v>
      </c>
      <c r="CI8" s="4" cm="1">
        <f t="array" ref="CI8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0.74886366179116171</v>
      </c>
      <c r="CJ8" s="32" cm="1">
        <f t="array" ref="CJ8">Model[[#This Row],[tr1]] * Model[[#This Row],[slst]:[slst]] * n</f>
        <v>701800</v>
      </c>
      <c r="CK8" s="32" cm="1">
        <f t="array" ref="CK8">Model[[#This Row],[tr2]] * Model[[#This Row],[slst]:[slst]] * n</f>
        <v>678774.73892669112</v>
      </c>
      <c r="CL8" s="32" cm="1">
        <f t="array" ref="CL8">Model[[#This Row],[tr3]] * Model[[#This Row],[slst]:[slst]] * n</f>
        <v>656610.029728516</v>
      </c>
      <c r="CM8" s="32" cm="1">
        <f t="array" ref="CM8">Model[[#This Row],[tr4]] * Model[[#This Row],[slst]:[slst]] * n</f>
        <v>635305.87240547466</v>
      </c>
      <c r="CN8" s="32" cm="1">
        <f t="array" ref="CN8">Model[[#This Row],[tr5]] * Model[[#This Row],[slst]:[slst]] * n</f>
        <v>614862.26695756719</v>
      </c>
      <c r="CO8" s="32" cm="1">
        <f t="array" ref="CO8">Model[[#This Row],[tr6]] * Model[[#This Row],[slst]:[slst]] * n</f>
        <v>595279.21338479361</v>
      </c>
      <c r="CP8" s="32" cm="1">
        <f t="array" ref="CP8">Model[[#This Row],[tr7]] * Model[[#This Row],[slst]:[slst]] * n</f>
        <v>576556.71168715379</v>
      </c>
      <c r="CQ8" s="32" cm="1">
        <f t="array" ref="CQ8">Model[[#This Row],[tr8]] * Model[[#This Row],[slst]:[slst]] * n</f>
        <v>558694.76186464773</v>
      </c>
      <c r="CR8" s="32" cm="1">
        <f t="array" ref="CR8">Model[[#This Row],[tr9]] * Model[[#This Row],[slst]:[slst]] * n</f>
        <v>541693.36391727556</v>
      </c>
      <c r="CS8" s="32" cm="1">
        <f t="array" ref="CS8">Model[[#This Row],[tr10]] * Model[[#This Row],[slst]:[slst]] * n</f>
        <v>525552.51784503728</v>
      </c>
      <c r="CT8" s="32">
        <f>Model[[#This Row],[Fmax1]] * (100 - rto) / 100</f>
        <v>701800</v>
      </c>
      <c r="CU8" s="32">
        <f>Model[[#This Row],[Fmax2]] * (100 - rto) / 100</f>
        <v>678774.73892669112</v>
      </c>
      <c r="CV8" s="32">
        <f>Model[[#This Row],[Fmax3]] * (100 - rto) / 100</f>
        <v>656610.029728516</v>
      </c>
      <c r="CW8" s="32">
        <f>Model[[#This Row],[Fmax4]] * (100 - rto) / 100</f>
        <v>635305.87240547466</v>
      </c>
      <c r="CX8" s="32">
        <f>Model[[#This Row],[Fmax5]] * (100 - rto) / 100</f>
        <v>614862.26695756719</v>
      </c>
      <c r="CY8" s="32">
        <f>Model[[#This Row],[Fmax6]] * (100 - rto) / 100</f>
        <v>595279.21338479361</v>
      </c>
      <c r="CZ8" s="32">
        <f>Model[[#This Row],[Fmax7]] * (100 - rto) / 100</f>
        <v>576556.71168715379</v>
      </c>
      <c r="DA8" s="32">
        <f>Model[[#This Row],[Fmax8]] * (100 - rto) / 100</f>
        <v>558694.76186464773</v>
      </c>
      <c r="DB8" s="32">
        <f>Model[[#This Row],[Fmax9]] * (100 - rto) / 100</f>
        <v>541693.36391727556</v>
      </c>
      <c r="DC8" s="32">
        <f>Model[[#This Row],[Fmax10]] * (100 - rto) / 100</f>
        <v>525552.51784503728</v>
      </c>
      <c r="DD8" s="32" cm="1">
        <f t="array" ref="DD8">Model[[#This Row],[cL]:[cL]] * 0.5 * rho * POWER(Model[[#This Row],[Vtas1]], 2) * Model[[#This Row],[S_total]:[S_total]]</f>
        <v>0</v>
      </c>
      <c r="DE8" s="32" cm="1">
        <f t="array" ref="DE8">Model[[#This Row],[cL]:[cL]] * 0.5 * rho * POWER(Model[[#This Row],[Vtas2]], 2) * Model[[#This Row],[S_total]:[S_total]]</f>
        <v>25636.559429012348</v>
      </c>
      <c r="DF8" s="32" cm="1">
        <f t="array" ref="DF8">Model[[#This Row],[cL]:[cL]] * 0.5 * rho * POWER(Model[[#This Row],[Vtas3]], 2) * Model[[#This Row],[S_total]:[S_total]]</f>
        <v>102546.23771604939</v>
      </c>
      <c r="DG8" s="32" cm="1">
        <f t="array" ref="DG8">Model[[#This Row],[cL]:[cL]] * 0.5 * rho * POWER(Model[[#This Row],[Vtas4]], 2) * Model[[#This Row],[S_total]:[S_total]]</f>
        <v>230729.03486111114</v>
      </c>
      <c r="DH8" s="32" cm="1">
        <f t="array" ref="DH8">Model[[#This Row],[cL]:[cL]] * 0.5 * rho * POWER(Model[[#This Row],[Vtas5]], 2) * Model[[#This Row],[S_total]:[S_total]]</f>
        <v>410184.95086419757</v>
      </c>
      <c r="DI8" s="32" cm="1">
        <f t="array" ref="DI8">Model[[#This Row],[cL]:[cL]] * 0.5 * rho * POWER(Model[[#This Row],[Vtas6]], 2) * Model[[#This Row],[S_total]:[S_total]]</f>
        <v>640913.98572530865</v>
      </c>
      <c r="DJ8" s="32" cm="1">
        <f t="array" ref="DJ8">Model[[#This Row],[cL]:[cL]] * 0.5 * rho * POWER(Model[[#This Row],[Vtas7]], 2) * Model[[#This Row],[S_total]:[S_total]]</f>
        <v>922916.13944444421</v>
      </c>
      <c r="DK8" s="32" cm="1">
        <f t="array" ref="DK8">Model[[#This Row],[cL]:[cL]] * 0.5 * rho * POWER(Model[[#This Row],[Vtas8]], 2) * Model[[#This Row],[S_total]:[S_total]]</f>
        <v>1256191.4120216051</v>
      </c>
      <c r="DL8" s="32" cm="1">
        <f t="array" ref="DL8">Model[[#This Row],[cL]:[cL]] * 0.5 * rho * POWER(Model[[#This Row],[Vtas9]], 2) * Model[[#This Row],[S_total]:[S_total]]</f>
        <v>1640739.8034567903</v>
      </c>
      <c r="DM8" s="32" cm="1">
        <f t="array" ref="DM8">Model[[#This Row],[cL]:[cL]] * 0.5 * rho * POWER(Model[[#This Row],[Vtas10]], 2) * Model[[#This Row],[S_total]:[S_total]]</f>
        <v>2076561.3137499997</v>
      </c>
      <c r="DN8" s="32" cm="1">
        <f t="array" ref="DN8">Model[[#This Row],[cD]:[cD]] * 0.5 * rho * POWER(Model[[#This Row],[Vtas1]], 2) * Model[[#This Row],[S_total]:[S_total]]</f>
        <v>0</v>
      </c>
      <c r="DO8" s="32" cm="1">
        <f t="array" ref="DO8">Model[[#This Row],[cD]:[cD]] * 0.5 * rho * POWER(Model[[#This Row],[Vtas2]], 2) * Model[[#This Row],[S_total]:[S_total]]</f>
        <v>2086.6993820490879</v>
      </c>
      <c r="DP8" s="32" cm="1">
        <f t="array" ref="DP8">Model[[#This Row],[cD]:[cD]] * 0.5 * rho * POWER(Model[[#This Row],[Vtas3]], 2) * Model[[#This Row],[S_total]:[S_total]]</f>
        <v>8346.7975281963518</v>
      </c>
      <c r="DQ8" s="32" cm="1">
        <f t="array" ref="DQ8">Model[[#This Row],[cD]:[cD]] * 0.5 * rho * POWER(Model[[#This Row],[Vtas4]], 2) * Model[[#This Row],[S_total]:[S_total]]</f>
        <v>18780.294438441797</v>
      </c>
      <c r="DR8" s="32" cm="1">
        <f t="array" ref="DR8">Model[[#This Row],[cD]:[cD]] * 0.5 * rho * POWER(Model[[#This Row],[Vtas5]], 2) * Model[[#This Row],[S_total]:[S_total]]</f>
        <v>33387.190112785407</v>
      </c>
      <c r="DS8" s="32" cm="1">
        <f t="array" ref="DS8">Model[[#This Row],[cD]:[cD]] * 0.5 * rho * POWER(Model[[#This Row],[Vtas6]], 2) * Model[[#This Row],[S_total]:[S_total]]</f>
        <v>52167.4845512272</v>
      </c>
      <c r="DT8" s="32" cm="1">
        <f t="array" ref="DT8">Model[[#This Row],[cD]:[cD]] * 0.5 * rho * POWER(Model[[#This Row],[Vtas7]], 2) * Model[[#This Row],[S_total]:[S_total]]</f>
        <v>75121.177753767159</v>
      </c>
      <c r="DU8" s="32" cm="1">
        <f t="array" ref="DU8">Model[[#This Row],[cD]:[cD]] * 0.5 * rho * POWER(Model[[#This Row],[Vtas8]], 2) * Model[[#This Row],[S_total]:[S_total]]</f>
        <v>102248.26972040533</v>
      </c>
      <c r="DV8" s="32" cm="1">
        <f t="array" ref="DV8">Model[[#This Row],[cD]:[cD]] * 0.5 * rho * POWER(Model[[#This Row],[Vtas9]], 2) * Model[[#This Row],[S_total]:[S_total]]</f>
        <v>133548.76045114163</v>
      </c>
      <c r="DW8" s="32" cm="1">
        <f t="array" ref="DW8">Model[[#This Row],[cD]:[cD]] * 0.5 * rho * POWER(Model[[#This Row],[Vtas10]], 2) * Model[[#This Row],[S_total]:[S_total]]</f>
        <v>169022.64994597615</v>
      </c>
      <c r="DX8" s="4" cm="1">
        <f t="array" ref="DX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3.8141524142857142</v>
      </c>
      <c r="DY8" s="4" cm="1">
        <f t="array" ref="DY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3.6735853899041273</v>
      </c>
      <c r="DZ8" s="4" cm="1">
        <f t="array" ref="DZ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3.5199475968836609</v>
      </c>
      <c r="EA8" s="4" cm="1">
        <f t="array" ref="EA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3.3532390352243144</v>
      </c>
      <c r="EB8" s="4" cm="1">
        <f t="array" ref="EB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3.1734597049260898</v>
      </c>
      <c r="EC8" s="4" cm="1">
        <f t="array" ref="EC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2.9806096059889859</v>
      </c>
      <c r="ED8" s="4" cm="1">
        <f t="array" ref="ED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2.774688738413003</v>
      </c>
      <c r="EE8" s="4" cm="1">
        <f t="array" ref="EE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2.5556971021981401</v>
      </c>
      <c r="EF8" s="4" cm="1">
        <f t="array" ref="EF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2.3236346973443984</v>
      </c>
      <c r="EG8" s="4" cm="1">
        <f t="array" ref="EG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2.0785015238517781</v>
      </c>
      <c r="EH8" s="12">
        <f>(Model[[#This Row],[a1]] - Model[[#This Row],[a10]]) / Model[[#This Row],[a1]]</f>
        <v>0.4550554623703929</v>
      </c>
      <c r="EI8" s="4">
        <f>AVERAGE(Model[[#This Row],[a1]], Model[[#This Row],[a1]])</f>
        <v>3.8141524142857142</v>
      </c>
      <c r="EJ8" s="4">
        <f>AVERAGE(Model[[#This Row],[a1]], Model[[#This Row],[a2]])</f>
        <v>3.7438689020949205</v>
      </c>
      <c r="EK8" s="4">
        <f>AVERAGE(Model[[#This Row],[a2]], Model[[#This Row],[a3]])</f>
        <v>3.5967664933938943</v>
      </c>
      <c r="EL8" s="4">
        <f>AVERAGE(Model[[#This Row],[a3]], Model[[#This Row],[a4]])</f>
        <v>3.4365933160539877</v>
      </c>
      <c r="EM8" s="4">
        <f>AVERAGE(Model[[#This Row],[a4]], Model[[#This Row],[a5]])</f>
        <v>3.2633493700752023</v>
      </c>
      <c r="EN8" s="4">
        <f>AVERAGE(Model[[#This Row],[a5]], Model[[#This Row],[a6]])</f>
        <v>3.0770346554575378</v>
      </c>
      <c r="EO8" s="4">
        <f>AVERAGE(Model[[#This Row],[a6]], Model[[#This Row],[a7]])</f>
        <v>2.8776491722009947</v>
      </c>
      <c r="EP8" s="4">
        <f>AVERAGE(Model[[#This Row],[a7]], Model[[#This Row],[a8]])</f>
        <v>2.6651929203055715</v>
      </c>
      <c r="EQ8" s="4">
        <f>AVERAGE(Model[[#This Row],[a8]], Model[[#This Row],[a9]])</f>
        <v>2.4396658997712692</v>
      </c>
      <c r="ER8" s="4">
        <f>AVERAGE(Model[[#This Row],[a9]], Model[[#This Row],[a10]])</f>
        <v>2.2010681105980883</v>
      </c>
      <c r="ES8" s="4">
        <f>AVERAGE(Model[[#This Row],[Vgnd1]], Model[[#This Row],[Vgnd1]])</f>
        <v>0</v>
      </c>
      <c r="ET8" s="4">
        <f>AVERAGE(Model[[#This Row],[Vgnd1]], Model[[#This Row],[Vgnd2]])</f>
        <v>4.5827159882989159</v>
      </c>
      <c r="EU8" s="4">
        <f>AVERAGE(Model[[#This Row],[Vgnd2]], Model[[#This Row],[Vgnd3]])</f>
        <v>13.748147964896749</v>
      </c>
      <c r="EV8" s="4">
        <f>AVERAGE(Model[[#This Row],[Vgnd3]], Model[[#This Row],[Vgnd4]])</f>
        <v>22.913579941494582</v>
      </c>
      <c r="EW8" s="4">
        <f>AVERAGE(Model[[#This Row],[Vgnd4]], Model[[#This Row],[Vgnd5]])</f>
        <v>32.079011918092412</v>
      </c>
      <c r="EX8" s="4">
        <f>AVERAGE(Model[[#This Row],[Vgnd5]], Model[[#This Row],[Vgnd6]])</f>
        <v>41.244443894690242</v>
      </c>
      <c r="EY8" s="4">
        <f>AVERAGE(Model[[#This Row],[Vgnd6]], Model[[#This Row],[Vgnd7]])</f>
        <v>50.409875871288072</v>
      </c>
      <c r="EZ8" s="4">
        <f>AVERAGE(Model[[#This Row],[Vgnd7]], Model[[#This Row],[Vgnd8]])</f>
        <v>59.575307847885909</v>
      </c>
      <c r="FA8" s="4">
        <f>AVERAGE(Model[[#This Row],[Vgnd8]], Model[[#This Row],[Vgnd9]])</f>
        <v>68.74073982448374</v>
      </c>
      <c r="FB8" s="4">
        <f>AVERAGE(Model[[#This Row],[Vgnd9]], Model[[#This Row],[Vgnd10]])</f>
        <v>77.90617180108157</v>
      </c>
      <c r="FC8" s="4">
        <f>Model[[#This Row],[Vlof]] / 9</f>
        <v>9.1654319765978318</v>
      </c>
      <c r="FD8" s="4" cm="1">
        <f t="array" ref="FD8">Model[[#This Row],[Vgnd_bar1]] * Model[[#This Row],[Vgnd_int]:[Vgnd_int]] / Model[[#This Row],[a_bar1]]</f>
        <v>0</v>
      </c>
      <c r="FE8" s="4" cm="1">
        <f t="array" ref="FE8">Model[[#This Row],[Vgnd_bar2]] * Model[[#This Row],[Vgnd_int]:[Vgnd_int]] / Model[[#This Row],[a_bar2]]</f>
        <v>11.219028432143563</v>
      </c>
      <c r="FF8" s="4" cm="1">
        <f t="array" ref="FF8">Model[[#This Row],[Vgnd_bar3]] * Model[[#This Row],[Vgnd_int]:[Vgnd_int]] / Model[[#This Row],[a_bar3]]</f>
        <v>35.033610107272402</v>
      </c>
      <c r="FG8" s="4" cm="1">
        <f t="array" ref="FG8">Model[[#This Row],[Vgnd_bar4]] * Model[[#This Row],[Vgnd_int]:[Vgnd_int]] / Model[[#This Row],[a_bar4]]</f>
        <v>61.110768420875871</v>
      </c>
      <c r="FH8" s="4" cm="1">
        <f t="array" ref="FH8">Model[[#This Row],[Vgnd_bar5]] * Model[[#This Row],[Vgnd_int]:[Vgnd_int]] / Model[[#This Row],[a_bar5]]</f>
        <v>90.097004111138617</v>
      </c>
      <c r="FI8" s="4" cm="1">
        <f t="array" ref="FI8">Model[[#This Row],[Vgnd_bar6]] * Model[[#This Row],[Vgnd_int]:[Vgnd_int]] / Model[[#This Row],[a_bar6]]</f>
        <v>122.85306707836843</v>
      </c>
      <c r="FJ8" s="4" cm="1">
        <f t="array" ref="FJ8">Model[[#This Row],[Vgnd_bar7]] * Model[[#This Row],[Vgnd_int]:[Vgnd_int]] / Model[[#This Row],[a_bar7]]</f>
        <v>160.55754562104764</v>
      </c>
      <c r="FK8" s="4" cm="1">
        <f t="array" ref="FK8">Model[[#This Row],[Vgnd_bar8]] * Model[[#This Row],[Vgnd_int]:[Vgnd_int]] / Model[[#This Row],[a_bar8]]</f>
        <v>204.87576242776041</v>
      </c>
      <c r="FL8" s="4" cm="1">
        <f t="array" ref="FL8">Model[[#This Row],[Vgnd_bar9]] * Model[[#This Row],[Vgnd_int]:[Vgnd_int]] / Model[[#This Row],[a_bar9]]</f>
        <v>258.24789162376067</v>
      </c>
      <c r="FM8" s="4" cm="1">
        <f t="array" ref="FM8">Model[[#This Row],[Vgnd_bar10]] * Model[[#This Row],[Vgnd_int]:[Vgnd_int]] / Model[[#This Row],[a_bar10]]</f>
        <v>324.40782489276666</v>
      </c>
      <c r="FN8" s="5">
        <f>SUM(Model[[#This Row],[inc1]:[inc10]])</f>
        <v>1268.4025027151342</v>
      </c>
      <c r="FO8" s="16">
        <f>Model[[#This Row],[todr_cal_air]]</f>
        <v>78.9022296705716</v>
      </c>
      <c r="FP8" s="5">
        <f>(Model[[#This Row],[todr_sim_gnd]] + Model[[#This Row],[todr_sim_air]]) * (tod_mul-1)</f>
        <v>202.09570985785575</v>
      </c>
      <c r="FQ8" s="5">
        <f>SUM(Model[[#This Row],[todr_sim_gnd]:[todr_sim_reg]])</f>
        <v>1549.4004422435617</v>
      </c>
      <c r="FR8" s="5">
        <f>Model[[#This Row],[todr_cal]] - Model[[#This Row],[todr_cal_reg]] - Model[[#This Row],[todr_cal_air]]</f>
        <v>1268.4021181555156</v>
      </c>
      <c r="FS8" s="16">
        <f>screen_height * SIN((90 - climb_angle) * PI() / 180) / SIN(climb_angle * PI() / 180) * ft_to_m</f>
        <v>78.9022296705716</v>
      </c>
      <c r="FT8" s="5">
        <f>Model[[#This Row],[todr_cal]] - Model[[#This Row],[todr_cal]] / tod_mul</f>
        <v>202.09565217391287</v>
      </c>
      <c r="FU8" s="5" cm="1">
        <f t="array" ref="FU8">_xlfn.XLOOKUP(Model[[#This Row],[type]] &amp; Model[[#This Row],[m]], Calibration[type] &amp;  Calibration[m], Calibration[todr_cal])</f>
        <v>1549.4</v>
      </c>
      <c r="FV8" s="3">
        <f>ABS(Model[[#This Row],[todr_sim]] - Model[[#This Row],[todr_cal]])</f>
        <v>4.4224356156519207E-4</v>
      </c>
      <c r="FW8" s="6">
        <f>Model[[#This Row],[diff_m]] / Model[[#This Row],[todr_cal]]</f>
        <v>2.8542891542867693E-7</v>
      </c>
      <c r="FX8"/>
      <c r="FY8"/>
      <c r="FZ8"/>
      <c r="GA8"/>
      <c r="GB8"/>
      <c r="GC8"/>
    </row>
    <row r="9" spans="1:185" x14ac:dyDescent="0.25">
      <c r="A9" s="2" t="s">
        <v>142</v>
      </c>
      <c r="B9" s="2" t="s">
        <v>228</v>
      </c>
      <c r="C9" s="2" t="s">
        <v>229</v>
      </c>
      <c r="D9" s="5">
        <v>2</v>
      </c>
      <c r="E9" s="5">
        <v>350900</v>
      </c>
      <c r="F9" s="15" cm="1">
        <f t="array" ref="F9">MAX(IF(Calibration[type] = Model[[#This Row],[type]], Calibration[m]))</f>
        <v>254000</v>
      </c>
      <c r="G9" s="5">
        <v>377</v>
      </c>
      <c r="H9" s="16">
        <v>9.0399999999999991</v>
      </c>
      <c r="I9" s="16">
        <v>60.12</v>
      </c>
      <c r="J9" s="16">
        <v>2.1999999999999999E-2</v>
      </c>
      <c r="K9" s="16">
        <v>4.2000000000000003E-2</v>
      </c>
      <c r="L9" s="16">
        <v>0.78300000000000003</v>
      </c>
      <c r="M9" s="16">
        <v>0.9</v>
      </c>
      <c r="N9" s="16">
        <v>0.15</v>
      </c>
      <c r="O9" s="16">
        <v>0.24</v>
      </c>
      <c r="P9" s="5" cm="1">
        <f t="array" ref="P9">MIN(IF(Calibration[type] = Model[[#This Row],[type]], Calibration[m]))</f>
        <v>175000</v>
      </c>
      <c r="Q9" s="5">
        <v>254000</v>
      </c>
      <c r="R9" s="5">
        <f>Model[[#This Row],[m]] * g</f>
        <v>2490892.91</v>
      </c>
      <c r="S9" s="5">
        <f>Model[[#This Row],[S_clean]] * Model[[#This Row],[SfS]]</f>
        <v>90.47999999999999</v>
      </c>
      <c r="T9" s="5">
        <f>IF(WingArea = "Incl. flaps", SUM(Model[[#This Row],[S_clean]], Model[[#This Row],[S_flaps]]), Model[[#This Row],[S_clean]])</f>
        <v>377</v>
      </c>
      <c r="U9" s="14">
        <f>Model[[#This Row],[lambda_f]] * POWER(Model[[#This Row],[cfc]], 1.38) * Model[[#This Row],[SfS]] * IF(flap_unit = "Degrees", POWER(SIN(flap_angle), 2), POWER(SIN(flap_angle * PI() / 180), 2))</f>
        <v>4.7511653902302119E-4</v>
      </c>
      <c r="V9" s="13">
        <f>Model[[#This Row],[W]] / Model[[#This Row],[S_total]] * k_gear * POWER(Model[[#This Row],[maxtom]], -0.215)</f>
        <v>2.042776241753037E-2</v>
      </c>
      <c r="W9" s="13">
        <f>SUM(Model[[#This Row],[cD0_clean]], Model[[#This Row],[cD0_flaps]], Model[[#This Row],[cD0_gear]])</f>
        <v>4.2902878956553391E-2</v>
      </c>
      <c r="X9" s="50">
        <v>1.694328921713842</v>
      </c>
      <c r="Y9" s="3">
        <f>POWER(Model[[#This Row],[span]], 2) / Model[[#This Row],[S_total]]</f>
        <v>9.5873061007957556</v>
      </c>
      <c r="Z9" s="11">
        <f t="shared" si="3"/>
        <v>2.5999999999999999E-2</v>
      </c>
      <c r="AA9" s="11">
        <f>0.783+Model[[#This Row],[e_flaps]]</f>
        <v>0.80900000000000005</v>
      </c>
      <c r="AB9" s="11">
        <f>1 / (1 / Model[[#This Row],[k_clean]] + PI() * Model[[#This Row],[ar]] * Model[[#This Row],[e_flaps]])</f>
        <v>4.0662591263946175E-2</v>
      </c>
      <c r="AC9" s="11">
        <f>Model[[#This Row],[k_total]] * POWER(Model[[#This Row],[cL]], 2)</f>
        <v>0.11673215399716662</v>
      </c>
      <c r="AD9" s="11">
        <f>(Model[[#This Row],[cD0_total]] + Model[[#This Row],[cDi]])</f>
        <v>0.15963503295372</v>
      </c>
      <c r="AE9" s="11">
        <f>Model[[#This Row],[cD]] - mu * Model[[#This Row],[cL]]</f>
        <v>0.12574845451944316</v>
      </c>
      <c r="AF9" s="3">
        <f>Model[[#This Row],[cL]] / Model[[#This Row],[cD]]</f>
        <v>10.613766228901943</v>
      </c>
      <c r="AG9" s="31">
        <f>SQRT(Model[[#This Row],[W]] / (0.5 * rho * Model[[#This Row],[S_total]] * Model[[#This Row],[cL]])) * Vs_to_Vlof</f>
        <v>87.77030947868279</v>
      </c>
      <c r="AH9" s="31">
        <v>0</v>
      </c>
      <c r="AI9" s="31" cm="1">
        <f t="array" ref="AI9">Model[[#This Row],[Vtas1]] + Model[[#This Row],[Vlof]:[Vlof]] / 9</f>
        <v>9.7522566087425329</v>
      </c>
      <c r="AJ9" s="31" cm="1">
        <f t="array" ref="AJ9">Model[[#This Row],[Vtas2]] + Model[[#This Row],[Vlof]:[Vlof]] / 9</f>
        <v>19.504513217485066</v>
      </c>
      <c r="AK9" s="31" cm="1">
        <f t="array" ref="AK9">Model[[#This Row],[Vtas3]] + Model[[#This Row],[Vlof]:[Vlof]] / 9</f>
        <v>29.256769826227597</v>
      </c>
      <c r="AL9" s="31" cm="1">
        <f t="array" ref="AL9">Model[[#This Row],[Vtas4]] + Model[[#This Row],[Vlof]:[Vlof]] / 9</f>
        <v>39.009026434970131</v>
      </c>
      <c r="AM9" s="31" cm="1">
        <f t="array" ref="AM9">Model[[#This Row],[Vtas5]] + Model[[#This Row],[Vlof]:[Vlof]] / 9</f>
        <v>48.761283043712666</v>
      </c>
      <c r="AN9" s="31" cm="1">
        <f t="array" ref="AN9">Model[[#This Row],[Vtas6]] + Model[[#This Row],[Vlof]:[Vlof]] / 9</f>
        <v>58.513539652455201</v>
      </c>
      <c r="AO9" s="31" cm="1">
        <f t="array" ref="AO9">Model[[#This Row],[Vtas7]] + Model[[#This Row],[Vlof]:[Vlof]] / 9</f>
        <v>68.265796261197735</v>
      </c>
      <c r="AP9" s="31" cm="1">
        <f t="array" ref="AP9">Model[[#This Row],[Vtas8]] + Model[[#This Row],[Vlof]:[Vlof]] / 9</f>
        <v>78.018052869940263</v>
      </c>
      <c r="AQ9" s="31" cm="1">
        <f t="array" ref="AQ9">Model[[#This Row],[Vtas9]] + Model[[#This Row],[Vlof]:[Vlof]] / 9</f>
        <v>87.77030947868279</v>
      </c>
      <c r="AR9" s="31">
        <v>0</v>
      </c>
      <c r="AS9" s="31" cm="1">
        <f t="array" ref="AS9">Model[[#This Row],[Vgnd1]] + Model[[#This Row],[Vlof]:[Vlof]] / 9</f>
        <v>9.7522566087425329</v>
      </c>
      <c r="AT9" s="31" cm="1">
        <f t="array" ref="AT9">Model[[#This Row],[Vgnd2]] + Model[[#This Row],[Vlof]:[Vlof]] / 9</f>
        <v>19.504513217485066</v>
      </c>
      <c r="AU9" s="31" cm="1">
        <f t="array" ref="AU9">Model[[#This Row],[Vgnd3]] + Model[[#This Row],[Vlof]:[Vlof]] / 9</f>
        <v>29.256769826227597</v>
      </c>
      <c r="AV9" s="31" cm="1">
        <f t="array" ref="AV9">Model[[#This Row],[Vgnd4]] + Model[[#This Row],[Vlof]:[Vlof]] / 9</f>
        <v>39.009026434970131</v>
      </c>
      <c r="AW9" s="31" cm="1">
        <f t="array" ref="AW9">Model[[#This Row],[Vgnd5]] + Model[[#This Row],[Vlof]:[Vlof]] / 9</f>
        <v>48.761283043712666</v>
      </c>
      <c r="AX9" s="31" cm="1">
        <f t="array" ref="AX9">Model[[#This Row],[Vgnd6]] + Model[[#This Row],[Vlof]:[Vlof]] / 9</f>
        <v>58.513539652455201</v>
      </c>
      <c r="AY9" s="31" cm="1">
        <f t="array" ref="AY9">Model[[#This Row],[Vgnd7]] + Model[[#This Row],[Vlof]:[Vlof]] / 9</f>
        <v>68.265796261197735</v>
      </c>
      <c r="AZ9" s="31" cm="1">
        <f t="array" ref="AZ9">Model[[#This Row],[Vgnd8]] + Model[[#This Row],[Vlof]:[Vlof]] / 9</f>
        <v>78.018052869940263</v>
      </c>
      <c r="BA9" s="31" cm="1">
        <f t="array" ref="BA9">Model[[#This Row],[Vgnd9]] + Model[[#This Row],[Vlof]:[Vlof]] / 9</f>
        <v>87.77030947868279</v>
      </c>
      <c r="BB9" s="33">
        <f>Model[[#This Row],[Vtas1]] / Vsnd</f>
        <v>0</v>
      </c>
      <c r="BC9" s="33">
        <f>Model[[#This Row],[Vtas2]] / Vsnd</f>
        <v>2.942392621241709E-2</v>
      </c>
      <c r="BD9" s="33">
        <f>Model[[#This Row],[Vtas3]] / Vsnd</f>
        <v>5.8847852424834181E-2</v>
      </c>
      <c r="BE9" s="33">
        <f>Model[[#This Row],[Vtas4]] / Vsnd</f>
        <v>8.8271778637251275E-2</v>
      </c>
      <c r="BF9" s="33">
        <f>Model[[#This Row],[Vtas5]] / Vsnd</f>
        <v>0.11769570484966836</v>
      </c>
      <c r="BG9" s="33">
        <f>Model[[#This Row],[Vtas6]] / Vsnd</f>
        <v>0.14711963106208548</v>
      </c>
      <c r="BH9" s="33">
        <f>Model[[#This Row],[Vtas7]] / Vsnd</f>
        <v>0.17654355727450255</v>
      </c>
      <c r="BI9" s="33">
        <f>Model[[#This Row],[Vtas8]] / Vsnd</f>
        <v>0.20596748348691965</v>
      </c>
      <c r="BJ9" s="33">
        <f>Model[[#This Row],[Vtas9]] / Vsnd</f>
        <v>0.23539140969933672</v>
      </c>
      <c r="BK9" s="33">
        <f>Model[[#This Row],[Vtas10]] / Vsnd</f>
        <v>0.26481533591175382</v>
      </c>
      <c r="BL9" s="32">
        <f>0.5 * rho * POWER(Model[[#This Row],[Vtas1]], 2)</f>
        <v>0</v>
      </c>
      <c r="BM9" s="32">
        <f>0.5 * rho * POWER(Model[[#This Row],[Vtas2]], 2)</f>
        <v>58.252736739691976</v>
      </c>
      <c r="BN9" s="32">
        <f>0.5 * rho * POWER(Model[[#This Row],[Vtas3]], 2)</f>
        <v>233.0109469587679</v>
      </c>
      <c r="BO9" s="32">
        <f>0.5 * rho * POWER(Model[[#This Row],[Vtas4]], 2)</f>
        <v>524.2746306572277</v>
      </c>
      <c r="BP9" s="32">
        <f>0.5 * rho * POWER(Model[[#This Row],[Vtas5]], 2)</f>
        <v>932.04378783507161</v>
      </c>
      <c r="BQ9" s="32">
        <f>0.5 * rho * POWER(Model[[#This Row],[Vtas6]], 2)</f>
        <v>1456.3184184922995</v>
      </c>
      <c r="BR9" s="32">
        <f>0.5 * rho * POWER(Model[[#This Row],[Vtas7]], 2)</f>
        <v>2097.0985226289113</v>
      </c>
      <c r="BS9" s="32">
        <f>0.5 * rho * POWER(Model[[#This Row],[Vtas8]], 2)</f>
        <v>2854.3841002449076</v>
      </c>
      <c r="BT9" s="32">
        <f>0.5 * rho * POWER(Model[[#This Row],[Vtas9]], 2)</f>
        <v>3728.1751513402864</v>
      </c>
      <c r="BU9" s="32">
        <f>0.5 * rho * POWER(Model[[#This Row],[Vtas10]], 2)</f>
        <v>4718.4716759150497</v>
      </c>
      <c r="BV9" s="3">
        <f>0.0606 * Model[[#This Row],[bpr]]  + 0.6337</f>
        <v>1.181524</v>
      </c>
      <c r="BW9" s="3">
        <f t="shared" si="0"/>
        <v>1</v>
      </c>
      <c r="BX9" s="3">
        <f t="shared" si="1"/>
        <v>1.0005999999999999</v>
      </c>
      <c r="BY9" s="3">
        <f t="shared" si="2"/>
        <v>1.0066999999999999</v>
      </c>
      <c r="BZ9" s="4" cm="1">
        <f t="array" ref="BZ9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CA9" s="4" cm="1">
        <f t="array" ref="CA9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0.96513228766915471</v>
      </c>
      <c r="CB9" s="4" cm="1">
        <f t="array" ref="CB9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0.93165282652948378</v>
      </c>
      <c r="CC9" s="4" cm="1">
        <f t="array" ref="CC9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0.8995616165809871</v>
      </c>
      <c r="CD9" s="4" cm="1">
        <f t="array" ref="CD9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0.86885865782366489</v>
      </c>
      <c r="CE9" s="4" cm="1">
        <f t="array" ref="CE9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0.83954395025751694</v>
      </c>
      <c r="CF9" s="4" cm="1">
        <f t="array" ref="CF9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0.81161749388254334</v>
      </c>
      <c r="CG9" s="4" cm="1">
        <f t="array" ref="CG9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0.78507928869874399</v>
      </c>
      <c r="CH9" s="4" cm="1">
        <f t="array" ref="CH9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0.75992933470611901</v>
      </c>
      <c r="CI9" s="4" cm="1">
        <f t="array" ref="CI9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0.73616763190466838</v>
      </c>
      <c r="CJ9" s="32" cm="1">
        <f t="array" ref="CJ9">Model[[#This Row],[tr1]] * Model[[#This Row],[slst]:[slst]] * n</f>
        <v>701800</v>
      </c>
      <c r="CK9" s="32" cm="1">
        <f t="array" ref="CK9">Model[[#This Row],[tr2]] * Model[[#This Row],[slst]:[slst]] * n</f>
        <v>677329.83948621282</v>
      </c>
      <c r="CL9" s="32" cm="1">
        <f t="array" ref="CL9">Model[[#This Row],[tr3]] * Model[[#This Row],[slst]:[slst]] * n</f>
        <v>653833.95365839172</v>
      </c>
      <c r="CM9" s="32" cm="1">
        <f t="array" ref="CM9">Model[[#This Row],[tr4]] * Model[[#This Row],[slst]:[slst]] * n</f>
        <v>631312.34251653671</v>
      </c>
      <c r="CN9" s="32" cm="1">
        <f t="array" ref="CN9">Model[[#This Row],[tr5]] * Model[[#This Row],[slst]:[slst]] * n</f>
        <v>609765.00606064801</v>
      </c>
      <c r="CO9" s="32" cm="1">
        <f t="array" ref="CO9">Model[[#This Row],[tr6]] * Model[[#This Row],[slst]:[slst]] * n</f>
        <v>589191.9442907254</v>
      </c>
      <c r="CP9" s="32" cm="1">
        <f t="array" ref="CP9">Model[[#This Row],[tr7]] * Model[[#This Row],[slst]:[slst]] * n</f>
        <v>569593.15720676887</v>
      </c>
      <c r="CQ9" s="32" cm="1">
        <f t="array" ref="CQ9">Model[[#This Row],[tr8]] * Model[[#This Row],[slst]:[slst]] * n</f>
        <v>550968.64480877854</v>
      </c>
      <c r="CR9" s="32" cm="1">
        <f t="array" ref="CR9">Model[[#This Row],[tr9]] * Model[[#This Row],[slst]:[slst]] * n</f>
        <v>533318.40709675429</v>
      </c>
      <c r="CS9" s="32" cm="1">
        <f t="array" ref="CS9">Model[[#This Row],[tr10]] * Model[[#This Row],[slst]:[slst]] * n</f>
        <v>516642.44407069625</v>
      </c>
      <c r="CT9" s="32">
        <f>Model[[#This Row],[Fmax1]] * (100 - rto) / 100</f>
        <v>701800</v>
      </c>
      <c r="CU9" s="32">
        <f>Model[[#This Row],[Fmax2]] * (100 - rto) / 100</f>
        <v>677329.83948621294</v>
      </c>
      <c r="CV9" s="32">
        <f>Model[[#This Row],[Fmax3]] * (100 - rto) / 100</f>
        <v>653833.95365839172</v>
      </c>
      <c r="CW9" s="32">
        <f>Model[[#This Row],[Fmax4]] * (100 - rto) / 100</f>
        <v>631312.34251653671</v>
      </c>
      <c r="CX9" s="32">
        <f>Model[[#This Row],[Fmax5]] * (100 - rto) / 100</f>
        <v>609765.00606064801</v>
      </c>
      <c r="CY9" s="32">
        <f>Model[[#This Row],[Fmax6]] * (100 - rto) / 100</f>
        <v>589191.9442907254</v>
      </c>
      <c r="CZ9" s="32">
        <f>Model[[#This Row],[Fmax7]] * (100 - rto) / 100</f>
        <v>569593.15720676887</v>
      </c>
      <c r="DA9" s="32">
        <f>Model[[#This Row],[Fmax8]] * (100 - rto) / 100</f>
        <v>550968.64480877854</v>
      </c>
      <c r="DB9" s="32">
        <f>Model[[#This Row],[Fmax9]] * (100 - rto) / 100</f>
        <v>533318.40709675429</v>
      </c>
      <c r="DC9" s="32">
        <f>Model[[#This Row],[Fmax10]] * (100 - rto) / 100</f>
        <v>516642.44407069625</v>
      </c>
      <c r="DD9" s="32" cm="1">
        <f t="array" ref="DD9">Model[[#This Row],[cL]:[cL]] * 0.5 * rho * POWER(Model[[#This Row],[Vtas1]], 2) * Model[[#This Row],[S_total]:[S_total]]</f>
        <v>0</v>
      </c>
      <c r="DE9" s="32" cm="1">
        <f t="array" ref="DE9">Model[[#This Row],[cL]:[cL]] * 0.5 * rho * POWER(Model[[#This Row],[Vtas2]], 2) * Model[[#This Row],[S_total]:[S_total]]</f>
        <v>37209.634828395065</v>
      </c>
      <c r="DF9" s="32" cm="1">
        <f t="array" ref="DF9">Model[[#This Row],[cL]:[cL]] * 0.5 * rho * POWER(Model[[#This Row],[Vtas3]], 2) * Model[[#This Row],[S_total]:[S_total]]</f>
        <v>148838.53931358026</v>
      </c>
      <c r="DG9" s="32" cm="1">
        <f t="array" ref="DG9">Model[[#This Row],[cL]:[cL]] * 0.5 * rho * POWER(Model[[#This Row],[Vtas4]], 2) * Model[[#This Row],[S_total]:[S_total]]</f>
        <v>334886.71345555555</v>
      </c>
      <c r="DH9" s="32" cm="1">
        <f t="array" ref="DH9">Model[[#This Row],[cL]:[cL]] * 0.5 * rho * POWER(Model[[#This Row],[Vtas5]], 2) * Model[[#This Row],[S_total]:[S_total]]</f>
        <v>595354.15725432103</v>
      </c>
      <c r="DI9" s="32" cm="1">
        <f t="array" ref="DI9">Model[[#This Row],[cL]:[cL]] * 0.5 * rho * POWER(Model[[#This Row],[Vtas6]], 2) * Model[[#This Row],[S_total]:[S_total]]</f>
        <v>930240.87070987676</v>
      </c>
      <c r="DJ9" s="32" cm="1">
        <f t="array" ref="DJ9">Model[[#This Row],[cL]:[cL]] * 0.5 * rho * POWER(Model[[#This Row],[Vtas7]], 2) * Model[[#This Row],[S_total]:[S_total]]</f>
        <v>1339546.8538222224</v>
      </c>
      <c r="DK9" s="32" cm="1">
        <f t="array" ref="DK9">Model[[#This Row],[cL]:[cL]] * 0.5 * rho * POWER(Model[[#This Row],[Vtas8]], 2) * Model[[#This Row],[S_total]:[S_total]]</f>
        <v>1823272.1065913588</v>
      </c>
      <c r="DL9" s="32" cm="1">
        <f t="array" ref="DL9">Model[[#This Row],[cL]:[cL]] * 0.5 * rho * POWER(Model[[#This Row],[Vtas9]], 2) * Model[[#This Row],[S_total]:[S_total]]</f>
        <v>2381416.6290172841</v>
      </c>
      <c r="DM9" s="32" cm="1">
        <f t="array" ref="DM9">Model[[#This Row],[cL]:[cL]] * 0.5 * rho * POWER(Model[[#This Row],[Vtas10]], 2) * Model[[#This Row],[S_total]:[S_total]]</f>
        <v>3013980.4210999999</v>
      </c>
      <c r="DN9" s="32" cm="1">
        <f t="array" ref="DN9">Model[[#This Row],[cD]:[cD]] * 0.5 * rho * POWER(Model[[#This Row],[Vtas1]], 2) * Model[[#This Row],[S_total]:[S_total]]</f>
        <v>0</v>
      </c>
      <c r="DO9" s="32" cm="1">
        <f t="array" ref="DO9">Model[[#This Row],[cD]:[cD]] * 0.5 * rho * POWER(Model[[#This Row],[Vtas2]], 2) * Model[[#This Row],[S_total]:[S_total]]</f>
        <v>3505.7899360050847</v>
      </c>
      <c r="DP9" s="32" cm="1">
        <f t="array" ref="DP9">Model[[#This Row],[cD]:[cD]] * 0.5 * rho * POWER(Model[[#This Row],[Vtas3]], 2) * Model[[#This Row],[S_total]:[S_total]]</f>
        <v>14023.159744020339</v>
      </c>
      <c r="DQ9" s="32" cm="1">
        <f t="array" ref="DQ9">Model[[#This Row],[cD]:[cD]] * 0.5 * rho * POWER(Model[[#This Row],[Vtas4]], 2) * Model[[#This Row],[S_total]:[S_total]]</f>
        <v>31552.109424045753</v>
      </c>
      <c r="DR9" s="32" cm="1">
        <f t="array" ref="DR9">Model[[#This Row],[cD]:[cD]] * 0.5 * rho * POWER(Model[[#This Row],[Vtas5]], 2) * Model[[#This Row],[S_total]:[S_total]]</f>
        <v>56092.638976081354</v>
      </c>
      <c r="DS9" s="32" cm="1">
        <f t="array" ref="DS9">Model[[#This Row],[cD]:[cD]] * 0.5 * rho * POWER(Model[[#This Row],[Vtas6]], 2) * Model[[#This Row],[S_total]:[S_total]]</f>
        <v>87644.748400127122</v>
      </c>
      <c r="DT9" s="32" cm="1">
        <f t="array" ref="DT9">Model[[#This Row],[cD]:[cD]] * 0.5 * rho * POWER(Model[[#This Row],[Vtas7]], 2) * Model[[#This Row],[S_total]:[S_total]]</f>
        <v>126208.43769618306</v>
      </c>
      <c r="DU9" s="32" cm="1">
        <f t="array" ref="DU9">Model[[#This Row],[cD]:[cD]] * 0.5 * rho * POWER(Model[[#This Row],[Vtas8]], 2) * Model[[#This Row],[S_total]:[S_total]]</f>
        <v>171783.70686424919</v>
      </c>
      <c r="DV9" s="32" cm="1">
        <f t="array" ref="DV9">Model[[#This Row],[cD]:[cD]] * 0.5 * rho * POWER(Model[[#This Row],[Vtas9]], 2) * Model[[#This Row],[S_total]:[S_total]]</f>
        <v>224370.55590432542</v>
      </c>
      <c r="DW9" s="32" cm="1">
        <f t="array" ref="DW9">Model[[#This Row],[cD]:[cD]] * 0.5 * rho * POWER(Model[[#This Row],[Vtas10]], 2) * Model[[#This Row],[S_total]:[S_total]]</f>
        <v>283968.98481641186</v>
      </c>
      <c r="DX9" s="4" cm="1">
        <f t="array" ref="DX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DY9" s="4" cm="1">
        <f t="array" ref="DY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2.4596471812865186</v>
      </c>
      <c r="DZ9" s="4" cm="1">
        <f t="array" ref="DZ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2.3345264035458384</v>
      </c>
      <c r="EA9" s="4" cm="1">
        <f t="array" ref="EA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2.1914964927622131</v>
      </c>
      <c r="EB9" s="4" cm="1">
        <f t="array" ref="EB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2.0305574489356419</v>
      </c>
      <c r="EC9" s="4" cm="1">
        <f t="array" ref="EC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1.8517092720661255</v>
      </c>
      <c r="ED9" s="4" cm="1">
        <f t="array" ref="ED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1.6549519621536626</v>
      </c>
      <c r="EE9" s="4" cm="1">
        <f t="array" ref="EE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1.4402855191982542</v>
      </c>
      <c r="EF9" s="4" cm="1">
        <f t="array" ref="EF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1.2077099431998997</v>
      </c>
      <c r="EG9" s="4" cm="1">
        <f t="array" ref="EG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0.95722523415860017</v>
      </c>
      <c r="EH9" s="12">
        <f>(Model[[#This Row],[a1]] - Model[[#This Row],[a10]]) / Model[[#This Row],[a1]]</f>
        <v>0.62708302284931627</v>
      </c>
      <c r="EI9" s="4">
        <f>AVERAGE(Model[[#This Row],[a1]], Model[[#This Row],[a1]])</f>
        <v>2.566858825984252</v>
      </c>
      <c r="EJ9" s="4">
        <f>AVERAGE(Model[[#This Row],[a1]], Model[[#This Row],[a2]])</f>
        <v>2.5132530036353851</v>
      </c>
      <c r="EK9" s="4">
        <f>AVERAGE(Model[[#This Row],[a2]], Model[[#This Row],[a3]])</f>
        <v>2.3970867924161787</v>
      </c>
      <c r="EL9" s="4">
        <f>AVERAGE(Model[[#This Row],[a3]], Model[[#This Row],[a4]])</f>
        <v>2.2630114481540256</v>
      </c>
      <c r="EM9" s="4">
        <f>AVERAGE(Model[[#This Row],[a4]], Model[[#This Row],[a5]])</f>
        <v>2.1110269708489273</v>
      </c>
      <c r="EN9" s="4">
        <f>AVERAGE(Model[[#This Row],[a5]], Model[[#This Row],[a6]])</f>
        <v>1.9411333605008836</v>
      </c>
      <c r="EO9" s="4">
        <f>AVERAGE(Model[[#This Row],[a6]], Model[[#This Row],[a7]])</f>
        <v>1.7533306171098939</v>
      </c>
      <c r="EP9" s="4">
        <f>AVERAGE(Model[[#This Row],[a7]], Model[[#This Row],[a8]])</f>
        <v>1.5476187406759583</v>
      </c>
      <c r="EQ9" s="4">
        <f>AVERAGE(Model[[#This Row],[a8]], Model[[#This Row],[a9]])</f>
        <v>1.3239977311990769</v>
      </c>
      <c r="ER9" s="4">
        <f>AVERAGE(Model[[#This Row],[a9]], Model[[#This Row],[a10]])</f>
        <v>1.0824675886792499</v>
      </c>
      <c r="ES9" s="4">
        <f>AVERAGE(Model[[#This Row],[Vgnd1]], Model[[#This Row],[Vgnd1]])</f>
        <v>0</v>
      </c>
      <c r="ET9" s="4">
        <f>AVERAGE(Model[[#This Row],[Vgnd1]], Model[[#This Row],[Vgnd2]])</f>
        <v>4.8761283043712664</v>
      </c>
      <c r="EU9" s="4">
        <f>AVERAGE(Model[[#This Row],[Vgnd2]], Model[[#This Row],[Vgnd3]])</f>
        <v>14.628384913113798</v>
      </c>
      <c r="EV9" s="4">
        <f>AVERAGE(Model[[#This Row],[Vgnd3]], Model[[#This Row],[Vgnd4]])</f>
        <v>24.380641521856333</v>
      </c>
      <c r="EW9" s="4">
        <f>AVERAGE(Model[[#This Row],[Vgnd4]], Model[[#This Row],[Vgnd5]])</f>
        <v>34.132898130598861</v>
      </c>
      <c r="EX9" s="4">
        <f>AVERAGE(Model[[#This Row],[Vgnd5]], Model[[#This Row],[Vgnd6]])</f>
        <v>43.885154739341402</v>
      </c>
      <c r="EY9" s="4">
        <f>AVERAGE(Model[[#This Row],[Vgnd6]], Model[[#This Row],[Vgnd7]])</f>
        <v>53.63741134808393</v>
      </c>
      <c r="EZ9" s="4">
        <f>AVERAGE(Model[[#This Row],[Vgnd7]], Model[[#This Row],[Vgnd8]])</f>
        <v>63.389667956826472</v>
      </c>
      <c r="FA9" s="4">
        <f>AVERAGE(Model[[#This Row],[Vgnd8]], Model[[#This Row],[Vgnd9]])</f>
        <v>73.141924565568999</v>
      </c>
      <c r="FB9" s="4">
        <f>AVERAGE(Model[[#This Row],[Vgnd9]], Model[[#This Row],[Vgnd10]])</f>
        <v>82.894181174311527</v>
      </c>
      <c r="FC9" s="4">
        <f>Model[[#This Row],[Vlof]] / 9</f>
        <v>9.7522566087425329</v>
      </c>
      <c r="FD9" s="4" cm="1">
        <f t="array" ref="FD9">Model[[#This Row],[Vgnd_bar1]] * Model[[#This Row],[Vgnd_int]:[Vgnd_int]] / Model[[#This Row],[a_bar1]]</f>
        <v>0</v>
      </c>
      <c r="FE9" s="4" cm="1">
        <f t="array" ref="FE9">Model[[#This Row],[Vgnd_bar2]] * Model[[#This Row],[Vgnd_int]:[Vgnd_int]] / Model[[#This Row],[a_bar2]]</f>
        <v>18.920997771651358</v>
      </c>
      <c r="FF9" s="4" cm="1">
        <f t="array" ref="FF9">Model[[#This Row],[Vgnd_bar3]] * Model[[#This Row],[Vgnd_int]:[Vgnd_int]] / Model[[#This Row],[a_bar3]]</f>
        <v>59.513808133892226</v>
      </c>
      <c r="FG9" s="4" cm="1">
        <f t="array" ref="FG9">Model[[#This Row],[Vgnd_bar4]] * Model[[#This Row],[Vgnd_int]:[Vgnd_int]] / Model[[#This Row],[a_bar4]]</f>
        <v>105.06631444611372</v>
      </c>
      <c r="FH9" s="4" cm="1">
        <f t="array" ref="FH9">Model[[#This Row],[Vgnd_bar5]] * Model[[#This Row],[Vgnd_int]:[Vgnd_int]] / Model[[#This Row],[a_bar5]]</f>
        <v>157.68286524345402</v>
      </c>
      <c r="FI9" s="4" cm="1">
        <f t="array" ref="FI9">Model[[#This Row],[Vgnd_bar6]] * Model[[#This Row],[Vgnd_int]:[Vgnd_int]] / Model[[#This Row],[a_bar6]]</f>
        <v>220.47907631755734</v>
      </c>
      <c r="FJ9" s="4" cm="1">
        <f t="array" ref="FJ9">Model[[#This Row],[Vgnd_bar7]] * Model[[#This Row],[Vgnd_int]:[Vgnd_int]] / Model[[#This Row],[a_bar7]]</f>
        <v>298.33837052216813</v>
      </c>
      <c r="FK9" s="4" cm="1">
        <f t="array" ref="FK9">Model[[#This Row],[Vgnd_bar8]] * Model[[#This Row],[Vgnd_int]:[Vgnd_int]] / Model[[#This Row],[a_bar8]]</f>
        <v>399.44741686699007</v>
      </c>
      <c r="FL9" s="4" cm="1">
        <f t="array" ref="FL9">Model[[#This Row],[Vgnd_bar9]] * Model[[#This Row],[Vgnd_int]:[Vgnd_int]] / Model[[#This Row],[a_bar9]]</f>
        <v>538.74625342047977</v>
      </c>
      <c r="FM9" s="4" cm="1">
        <f t="array" ref="FM9">Model[[#This Row],[Vgnd_bar10]] * Model[[#This Row],[Vgnd_int]:[Vgnd_int]] / Model[[#This Row],[a_bar10]]</f>
        <v>746.81711918029725</v>
      </c>
      <c r="FN9" s="5">
        <f>SUM(Model[[#This Row],[inc1]:[inc10]])</f>
        <v>2545.0122219026039</v>
      </c>
      <c r="FO9" s="16">
        <f>Model[[#This Row],[todr_cal_air]]</f>
        <v>78.9022296705716</v>
      </c>
      <c r="FP9" s="5">
        <f>(Model[[#This Row],[todr_sim_gnd]] + Model[[#This Row],[todr_sim_air]]) * (tod_mul-1)</f>
        <v>393.5871677359761</v>
      </c>
      <c r="FQ9" s="5">
        <f>SUM(Model[[#This Row],[todr_sim_gnd]:[todr_sim_reg]])</f>
        <v>3017.5016193091515</v>
      </c>
      <c r="FR9" s="5">
        <f>Model[[#This Row],[todr_cal]] - Model[[#This Row],[todr_cal_reg]] - Model[[#This Row],[todr_cal_air]]</f>
        <v>2545.0108138076894</v>
      </c>
      <c r="FS9" s="16">
        <f>screen_height * SIN((90 - climb_angle) * PI() / 180) / SIN(climb_angle * PI() / 180) * ft_to_m</f>
        <v>78.9022296705716</v>
      </c>
      <c r="FT9" s="5">
        <f>Model[[#This Row],[todr_cal]] - Model[[#This Row],[todr_cal]] / tod_mul</f>
        <v>393.58695652173901</v>
      </c>
      <c r="FU9" s="5" cm="1">
        <f t="array" ref="FU9">_xlfn.XLOOKUP(Model[[#This Row],[type]] &amp; Model[[#This Row],[m]], Calibration[type] &amp;  Calibration[m], Calibration[todr_cal])</f>
        <v>3017.5</v>
      </c>
      <c r="FV9" s="3">
        <f>ABS(Model[[#This Row],[todr_sim]] - Model[[#This Row],[todr_cal]])</f>
        <v>1.6193091514651314E-3</v>
      </c>
      <c r="FW9" s="6">
        <f>Model[[#This Row],[diff_m]] / Model[[#This Row],[todr_cal]]</f>
        <v>5.3663932111520515E-7</v>
      </c>
      <c r="FX9"/>
      <c r="FY9"/>
      <c r="FZ9"/>
      <c r="GA9"/>
      <c r="GB9"/>
      <c r="GC9"/>
    </row>
    <row r="11" spans="1:185" s="17" customFormat="1" x14ac:dyDescent="0.25">
      <c r="B11" s="18" t="s">
        <v>230</v>
      </c>
      <c r="C11" s="18"/>
      <c r="D11" s="19"/>
      <c r="E11" s="19"/>
      <c r="F11" s="18"/>
      <c r="G11" s="19"/>
      <c r="H11" s="19"/>
      <c r="I11" s="19"/>
      <c r="J11" s="20"/>
      <c r="K11" s="20"/>
      <c r="L11" s="20"/>
      <c r="M11" s="20"/>
      <c r="N11" s="20"/>
      <c r="O11" s="20"/>
      <c r="P11" s="24" t="s">
        <v>182</v>
      </c>
      <c r="Q11" s="24"/>
      <c r="R11" s="25" t="s">
        <v>183</v>
      </c>
      <c r="S11" s="25"/>
      <c r="T11" s="26" t="s">
        <v>192</v>
      </c>
      <c r="U11" s="26"/>
      <c r="V11" s="27"/>
      <c r="W11" s="41" t="s">
        <v>186</v>
      </c>
      <c r="X11" s="27" t="s">
        <v>187</v>
      </c>
      <c r="Y11" s="27"/>
      <c r="Z11" s="27"/>
      <c r="AA11" s="27"/>
      <c r="AB11" s="27"/>
      <c r="AC11" s="28" t="s">
        <v>188</v>
      </c>
      <c r="AD11" s="27" t="s">
        <v>189</v>
      </c>
      <c r="AE11" s="27"/>
      <c r="AF11" s="29" t="s">
        <v>190</v>
      </c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0"/>
      <c r="BI11" s="20"/>
      <c r="BJ11" s="20"/>
      <c r="BK11" s="34" t="s">
        <v>191</v>
      </c>
      <c r="BL11" s="34"/>
      <c r="BM11" s="34"/>
      <c r="BN11" s="34"/>
      <c r="BO11" s="34"/>
      <c r="BP11" s="34"/>
      <c r="BQ11" s="34"/>
      <c r="BR11" s="34"/>
      <c r="BS11" s="34"/>
      <c r="BT11" s="34"/>
      <c r="BU11" s="35" t="s">
        <v>193</v>
      </c>
      <c r="BV11" s="35"/>
      <c r="BW11" s="35"/>
      <c r="BX11" s="35"/>
      <c r="BY11" s="35"/>
      <c r="BZ11" s="35"/>
      <c r="CA11" s="35"/>
      <c r="CB11" s="35"/>
      <c r="CC11" s="35"/>
      <c r="CD11" s="35"/>
      <c r="CE11" s="24"/>
      <c r="CF11" s="24"/>
      <c r="CG11" s="24"/>
      <c r="CH11" s="24"/>
      <c r="CI11" s="24"/>
      <c r="CJ11" s="24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7" t="s">
        <v>194</v>
      </c>
      <c r="DD11" s="37"/>
      <c r="DE11" s="26"/>
      <c r="DF11" s="26"/>
      <c r="DG11" s="26"/>
      <c r="DH11" s="26"/>
      <c r="DI11" s="26"/>
      <c r="DJ11" s="26"/>
      <c r="DK11" s="26"/>
      <c r="DL11" s="26"/>
      <c r="DM11" s="20" t="s">
        <v>195</v>
      </c>
      <c r="DN11" s="20"/>
      <c r="DO11" s="20"/>
      <c r="DP11" s="20"/>
      <c r="DQ11" s="20"/>
      <c r="DR11" s="20"/>
      <c r="DS11" s="20"/>
      <c r="DT11" s="20"/>
      <c r="DU11" s="20"/>
      <c r="DV11" s="20"/>
      <c r="DW11" s="25" t="s">
        <v>196</v>
      </c>
      <c r="DX11" s="25"/>
      <c r="DY11" s="25"/>
      <c r="DZ11" s="38"/>
      <c r="EA11" s="38"/>
      <c r="EB11" s="39"/>
      <c r="EC11" s="34"/>
      <c r="ED11" s="34"/>
      <c r="EE11" s="38"/>
      <c r="EF11" s="38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40"/>
      <c r="ER11" s="24" t="s">
        <v>197</v>
      </c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6" t="s">
        <v>198</v>
      </c>
      <c r="FD11" s="26"/>
      <c r="FE11" s="26"/>
      <c r="FF11" s="26"/>
      <c r="FG11" s="26"/>
      <c r="FH11" s="26"/>
      <c r="FI11" s="26"/>
      <c r="FJ11" s="26"/>
      <c r="FK11" s="26"/>
      <c r="FL11" s="26"/>
      <c r="FM11" s="20" t="s">
        <v>199</v>
      </c>
      <c r="FN11" s="20"/>
      <c r="FO11" s="20"/>
      <c r="FP11" s="20"/>
      <c r="FQ11" s="25" t="s">
        <v>200</v>
      </c>
      <c r="FR11" s="25"/>
      <c r="FS11" s="25"/>
      <c r="FT11" s="25"/>
      <c r="FU11" s="24" t="s">
        <v>201</v>
      </c>
      <c r="FV11" s="24"/>
      <c r="FW11" s="22"/>
      <c r="FX11" s="22"/>
      <c r="FY11" s="22"/>
      <c r="FZ11" s="22"/>
      <c r="GA11" s="22"/>
      <c r="GB11" s="21"/>
      <c r="GC11" s="23"/>
    </row>
    <row r="14" spans="1:185" x14ac:dyDescent="0.25">
      <c r="C14" s="17" t="s">
        <v>208</v>
      </c>
      <c r="D14" s="48" t="s">
        <v>207</v>
      </c>
      <c r="F14" s="17" t="s">
        <v>209</v>
      </c>
      <c r="G14" s="48" t="s">
        <v>207</v>
      </c>
      <c r="I14" s="5" t="s">
        <v>1</v>
      </c>
      <c r="J14" s="47" t="s">
        <v>210</v>
      </c>
      <c r="K14" s="47" t="s">
        <v>211</v>
      </c>
      <c r="L14" s="47" t="s">
        <v>212</v>
      </c>
    </row>
    <row r="15" spans="1:185" x14ac:dyDescent="0.25">
      <c r="C15" s="10" t="s">
        <v>202</v>
      </c>
      <c r="D15" s="49" t="s">
        <v>203</v>
      </c>
      <c r="F15" s="10" t="s">
        <v>206</v>
      </c>
      <c r="G15" s="4">
        <f>SUM(Model[diff_m])</f>
        <v>2.8124886066734689E-2</v>
      </c>
      <c r="I15" s="5" t="s">
        <v>86</v>
      </c>
      <c r="J15" s="30" cm="1">
        <f t="array" ref="J15">MIN(IF(Model[[type]:[type]]=$I15,Model[[cL]:[cL]]))</f>
        <v>1.8353118849014101</v>
      </c>
      <c r="K15" s="30" cm="1">
        <f t="array" ref="K15">AVERAGE(IF(Model[[type]:[type]]=$I15,Model[[cL]:[cL]]))</f>
        <v>1.8772313188108711</v>
      </c>
      <c r="L15" s="30" cm="1">
        <f t="array" ref="L15">MAX(IF(Model[[type]:[type]]=$I15,Model[[cL]:[cL]]))</f>
        <v>1.9191507527203322</v>
      </c>
    </row>
    <row r="16" spans="1:185" x14ac:dyDescent="0.25">
      <c r="C16" s="10" t="s">
        <v>204</v>
      </c>
      <c r="D16" s="5" t="s">
        <v>205</v>
      </c>
      <c r="I16" s="5" t="s">
        <v>141</v>
      </c>
      <c r="J16" s="30" cm="1">
        <f t="array" ref="J16">MIN(IF(Model[[type]:[type]]=$I16,Model[[cL]:[cL]]))</f>
        <v>0.88217513939771286</v>
      </c>
      <c r="K16" s="30" cm="1">
        <f t="array" ref="K16">AVERAGE(IF(Model[[type]:[type]]=$I16,Model[[cL]:[cL]]))</f>
        <v>1.3073773311150063</v>
      </c>
      <c r="L16" s="30" cm="1">
        <f t="array" ref="L16">MAX(IF(Model[[type]:[type]]=$I16,Model[[cL]:[cL]]))</f>
        <v>1.7325795228322998</v>
      </c>
    </row>
    <row r="17" spans="2:51" x14ac:dyDescent="0.25">
      <c r="I17" s="5" t="s">
        <v>140</v>
      </c>
      <c r="J17" s="30" cm="1">
        <f t="array" ref="J17">MIN(IF(Model[[type]:[type]]=$I17,Model[[cL]:[cL]]))</f>
        <v>1.1043907148312082</v>
      </c>
      <c r="K17" s="30" cm="1">
        <f t="array" ref="K17">AVERAGE(IF(Model[[type]:[type]]=$I17,Model[[cL]:[cL]]))</f>
        <v>1.3254566557014518</v>
      </c>
      <c r="L17" s="30" cm="1">
        <f t="array" ref="L17">MAX(IF(Model[[type]:[type]]=$I17,Model[[cL]:[cL]]))</f>
        <v>1.5465225965716953</v>
      </c>
    </row>
    <row r="18" spans="2:51" x14ac:dyDescent="0.25">
      <c r="I18" s="5" t="s">
        <v>142</v>
      </c>
      <c r="J18" s="30" cm="1">
        <f t="array" ref="J18">MIN(IF(Model[[type]:[type]]=$I18,Model[[cL]:[cL]]))</f>
        <v>1.3216194445590621</v>
      </c>
      <c r="K18" s="30" cm="1">
        <f t="array" ref="K18">AVERAGE(IF(Model[[type]:[type]]=$I18,Model[[cL]:[cL]]))</f>
        <v>1.5079741831364522</v>
      </c>
      <c r="L18" s="30" cm="1">
        <f t="array" ref="L18">MAX(IF(Model[[type]:[type]]=$I18,Model[[cL]:[cL]]))</f>
        <v>1.694328921713842</v>
      </c>
      <c r="AU18" s="3" t="s">
        <v>238</v>
      </c>
    </row>
    <row r="19" spans="2:51" x14ac:dyDescent="0.25">
      <c r="I19" s="22" t="s">
        <v>215</v>
      </c>
      <c r="J19" s="43">
        <f>MIN(Model[[cL]:[cL]])</f>
        <v>0.88217513939771286</v>
      </c>
      <c r="K19" s="43">
        <f>AVERAGE(Model[[cL]:[cL]])</f>
        <v>1.5045098721909451</v>
      </c>
      <c r="L19" s="43">
        <f>MAX(Model[[cL]:[cL]])</f>
        <v>1.9191507527203322</v>
      </c>
    </row>
    <row r="20" spans="2:51" x14ac:dyDescent="0.25">
      <c r="I20" s="45" t="s">
        <v>0</v>
      </c>
      <c r="J20" s="46" t="s">
        <v>210</v>
      </c>
      <c r="K20" s="46" t="s">
        <v>211</v>
      </c>
      <c r="L20" s="46" t="s">
        <v>212</v>
      </c>
      <c r="AH20" s="14"/>
      <c r="AU20" s="3" t="s">
        <v>233</v>
      </c>
      <c r="AV20" s="3">
        <f>35 * ft_to_m</f>
        <v>10.668000000000001</v>
      </c>
      <c r="AW20" s="3" t="s">
        <v>6</v>
      </c>
    </row>
    <row r="21" spans="2:51" x14ac:dyDescent="0.25">
      <c r="C21" s="52"/>
      <c r="D21" s="53"/>
      <c r="I21" s="42" t="s">
        <v>86</v>
      </c>
      <c r="J21" s="44" cm="1">
        <f t="array" ref="J21">MIN(IF(Model[[type]:[type]]=$I21,Model[[cD]:[cD]]))</f>
        <v>0.16206096850440782</v>
      </c>
      <c r="K21" s="44" cm="1">
        <f t="array" ref="K21">AVERAGE(IF(Model[[type]:[type]]=$I21,Model[[cD]:[cD]]))</f>
        <v>0.16971246560013628</v>
      </c>
      <c r="L21" s="44" cm="1">
        <f t="array" ref="L21">MAX(IF(Model[[type]:[type]]=$I21,Model[[cD]:[cD]]))</f>
        <v>0.17736396269586474</v>
      </c>
      <c r="AH21" s="14"/>
      <c r="AI21" s="3" t="s">
        <v>249</v>
      </c>
      <c r="AU21" s="3" t="s">
        <v>234</v>
      </c>
      <c r="AV21" s="3">
        <v>1</v>
      </c>
      <c r="AW21" s="3" t="s">
        <v>6</v>
      </c>
    </row>
    <row r="22" spans="2:51" x14ac:dyDescent="0.25">
      <c r="I22" s="5" t="s">
        <v>141</v>
      </c>
      <c r="J22" s="30" cm="1">
        <f t="array" ref="J22">MIN(IF(Model[[type]:[type]]=$I22,Model[[cD]:[cD]]))</f>
        <v>6.5775181414152534E-2</v>
      </c>
      <c r="K22" s="30" cm="1">
        <f t="array" ref="K22">AVERAGE(IF(Model[[type]:[type]]=$I22,Model[[cD]:[cD]]))</f>
        <v>0.11576698622720002</v>
      </c>
      <c r="L22" s="30" cm="1">
        <f t="array" ref="L22">MAX(IF(Model[[type]:[type]]=$I22,Model[[cD]:[cD]]))</f>
        <v>0.16575879104024752</v>
      </c>
      <c r="AH22" s="14"/>
      <c r="AI22" s="3">
        <v>1.6</v>
      </c>
      <c r="AJ22" s="3">
        <v>2.2000000000000002</v>
      </c>
      <c r="AU22" s="3" t="s">
        <v>235</v>
      </c>
      <c r="AV22" s="3">
        <f>7.7</f>
        <v>7.7</v>
      </c>
      <c r="AW22" s="3" t="s">
        <v>236</v>
      </c>
    </row>
    <row r="23" spans="2:51" x14ac:dyDescent="0.25">
      <c r="I23" s="5" t="s">
        <v>140</v>
      </c>
      <c r="J23" s="30" cm="1">
        <f t="array" ref="J23">MIN(IF(Model[[type]:[type]]=$I23,Model[[cD]:[cD]]))</f>
        <v>8.3883831083014809E-2</v>
      </c>
      <c r="K23" s="30" cm="1">
        <f t="array" ref="K23">AVERAGE(IF(Model[[type]:[type]]=$I23,Model[[cD]:[cD]]))</f>
        <v>0.11410973142212373</v>
      </c>
      <c r="L23" s="30" cm="1">
        <f t="array" ref="L23">MAX(IF(Model[[type]:[type]]=$I23,Model[[cD]:[cD]]))</f>
        <v>0.14433563176123265</v>
      </c>
      <c r="AH23" s="14"/>
      <c r="AI23" s="3">
        <f>AI22*83%</f>
        <v>1.3280000000000001</v>
      </c>
      <c r="AJ23" s="3">
        <f>AJ22*83%</f>
        <v>1.8260000000000001</v>
      </c>
      <c r="AN23" s="4"/>
      <c r="AU23" s="3" t="s">
        <v>237</v>
      </c>
      <c r="AV23" s="3">
        <f>(AV20-AV21)/TAN(AV22 * PI() / 180)</f>
        <v>71.506070158894474</v>
      </c>
      <c r="AW23" s="3" t="s">
        <v>6</v>
      </c>
    </row>
    <row r="24" spans="2:51" x14ac:dyDescent="0.25">
      <c r="I24" s="5" t="s">
        <v>142</v>
      </c>
      <c r="J24" s="30" cm="1">
        <f t="array" ref="J24">MIN(IF(Model[[type]:[type]]=$I24,Model[[cD]:[cD]]))</f>
        <v>0.10757381410332642</v>
      </c>
      <c r="K24" s="30" cm="1">
        <f t="array" ref="K24">AVERAGE(IF(Model[[type]:[type]]=$I24,Model[[cD]:[cD]]))</f>
        <v>0.1336044235285232</v>
      </c>
      <c r="L24" s="30" cm="1">
        <f t="array" ref="L24">MAX(IF(Model[[type]:[type]]=$I24,Model[[cD]:[cD]]))</f>
        <v>0.15963503295372</v>
      </c>
      <c r="AH24" s="14"/>
    </row>
    <row r="25" spans="2:51" x14ac:dyDescent="0.25">
      <c r="I25" s="22" t="s">
        <v>215</v>
      </c>
      <c r="J25" s="43">
        <f>MIN(Model[[cD]:[cD]])</f>
        <v>6.5775181414152534E-2</v>
      </c>
      <c r="K25" s="43">
        <f>AVERAGE(Model[[cD]:[cD]])</f>
        <v>0.13329840169449581</v>
      </c>
      <c r="L25" s="43">
        <f>MAX(Model[[cD]:[cD]])</f>
        <v>0.17736396269586474</v>
      </c>
      <c r="AH25" s="14"/>
      <c r="AU25" s="3" t="s">
        <v>239</v>
      </c>
    </row>
    <row r="26" spans="2:51" x14ac:dyDescent="0.25">
      <c r="I26" s="45" t="s">
        <v>214</v>
      </c>
      <c r="J26" s="46" t="s">
        <v>210</v>
      </c>
      <c r="K26" s="46" t="s">
        <v>211</v>
      </c>
      <c r="L26" s="46" t="s">
        <v>212</v>
      </c>
      <c r="AH26" s="14"/>
    </row>
    <row r="27" spans="2:51" x14ac:dyDescent="0.25">
      <c r="I27" s="5" t="s">
        <v>86</v>
      </c>
      <c r="J27" s="30" cm="1">
        <f t="array" ref="J27">MIN(IF(Model[[type]:[type]]=$I27,Model[[cL/cD]:[cL/cD]]))</f>
        <v>10.820409758273163</v>
      </c>
      <c r="K27" s="30" cm="1">
        <f t="array" ref="K27">AVERAGE(IF(Model[[type]:[type]]=$I27,Model[[cL/cD]:[cL/cD]]))</f>
        <v>11.072616691921386</v>
      </c>
      <c r="L27" s="30" cm="1">
        <f t="array" ref="L27">MAX(IF(Model[[type]:[type]]=$I27,Model[[cL/cD]:[cL/cD]]))</f>
        <v>11.324823625569609</v>
      </c>
      <c r="AH27" s="14"/>
      <c r="AU27" s="3" t="s">
        <v>240</v>
      </c>
      <c r="AV27" s="3">
        <v>35</v>
      </c>
    </row>
    <row r="28" spans="2:51" x14ac:dyDescent="0.25">
      <c r="I28" s="5" t="s">
        <v>141</v>
      </c>
      <c r="J28" s="30" cm="1">
        <f t="array" ref="J28">MIN(IF(Model[[type]:[type]]=$I28,Model[[cL/cD]:[cL/cD]]))</f>
        <v>10.45241408892525</v>
      </c>
      <c r="K28" s="30" cm="1">
        <f t="array" ref="K28">AVERAGE(IF(Model[[type]:[type]]=$I28,Model[[cL/cD]:[cL/cD]]))</f>
        <v>11.932194929491091</v>
      </c>
      <c r="L28" s="30" cm="1">
        <f t="array" ref="L28">MAX(IF(Model[[type]:[type]]=$I28,Model[[cL/cD]:[cL/cD]]))</f>
        <v>13.411975770056932</v>
      </c>
      <c r="AU28" s="3" t="s">
        <v>241</v>
      </c>
      <c r="AV28" s="3">
        <f>180-90-AV29</f>
        <v>82.3</v>
      </c>
    </row>
    <row r="29" spans="2:51" x14ac:dyDescent="0.25">
      <c r="C29" s="10" t="s">
        <v>262</v>
      </c>
      <c r="D29" s="5" t="s">
        <v>231</v>
      </c>
      <c r="E29" s="5" t="s">
        <v>232</v>
      </c>
      <c r="F29" s="10" t="s">
        <v>259</v>
      </c>
      <c r="I29" s="5" t="s">
        <v>140</v>
      </c>
      <c r="J29" s="30" cm="1">
        <f t="array" ref="J29">MIN(IF(Model[[type]:[type]]=$I29,Model[[cL/cD]:[cL/cD]]))</f>
        <v>10.714766532009447</v>
      </c>
      <c r="K29" s="30" cm="1">
        <f t="array" ref="K29">AVERAGE(IF(Model[[type]:[type]]=$I29,Model[[cL/cD]:[cL/cD]]))</f>
        <v>11.940241372105401</v>
      </c>
      <c r="L29" s="30" cm="1">
        <f t="array" ref="L29">MAX(IF(Model[[type]:[type]]=$I29,Model[[cL/cD]:[cL/cD]]))</f>
        <v>13.165716212201357</v>
      </c>
      <c r="AU29" s="3" t="s">
        <v>242</v>
      </c>
      <c r="AV29" s="3">
        <v>7.7</v>
      </c>
    </row>
    <row r="30" spans="2:51" x14ac:dyDescent="0.25">
      <c r="B30" s="10" t="s">
        <v>86</v>
      </c>
      <c r="C30" s="10" t="s">
        <v>260</v>
      </c>
      <c r="D30" s="5">
        <v>65250</v>
      </c>
      <c r="E30" s="5">
        <v>65250</v>
      </c>
      <c r="F30" s="15">
        <f>N43</f>
        <v>72563</v>
      </c>
      <c r="I30" s="5" t="s">
        <v>142</v>
      </c>
      <c r="J30" s="30" cm="1">
        <f t="array" ref="J30">MIN(IF(Model[[type]:[type]]=$I30,Model[[cL/cD]:[cL/cD]]))</f>
        <v>10.613766228901943</v>
      </c>
      <c r="K30" s="30" cm="1">
        <f t="array" ref="K30">AVERAGE(IF(Model[[type]:[type]]=$I30,Model[[cL/cD]:[cL/cD]]))</f>
        <v>11.449732355111086</v>
      </c>
      <c r="L30" s="30" cm="1">
        <f t="array" ref="L30">MAX(IF(Model[[type]:[type]]=$I30,Model[[cL/cD]:[cL/cD]]))</f>
        <v>12.28569848132023</v>
      </c>
      <c r="AU30" s="3" t="s">
        <v>243</v>
      </c>
      <c r="AV30" s="3">
        <f>AV27*SIN(AV28 * PI() / 180)/SIN(AV29 * PI() / 180)</f>
        <v>258.86558290869948</v>
      </c>
      <c r="AW30" s="3" t="s">
        <v>244</v>
      </c>
    </row>
    <row r="31" spans="2:51" x14ac:dyDescent="0.25">
      <c r="B31" s="10" t="s">
        <v>86</v>
      </c>
      <c r="C31" s="10" t="s">
        <v>261</v>
      </c>
      <c r="D31" s="5">
        <v>77000</v>
      </c>
      <c r="E31" s="5">
        <v>77000</v>
      </c>
      <c r="F31" s="2">
        <f>E31</f>
        <v>77000</v>
      </c>
      <c r="I31" s="22" t="s">
        <v>215</v>
      </c>
      <c r="J31" s="43">
        <f>MIN(Model[[cL/cD]:[cL/cD]])</f>
        <v>10.45241408892525</v>
      </c>
      <c r="K31" s="43">
        <f>AVERAGE(Model[[cL/cD]:[cL/cD]])</f>
        <v>11.598696337157241</v>
      </c>
      <c r="L31" s="43">
        <f>MAX(Model[[cL/cD]:[cL/cD]])</f>
        <v>13.411975770056932</v>
      </c>
      <c r="AV31" s="51">
        <f>AV30*ft_to_m</f>
        <v>78.9022296705716</v>
      </c>
      <c r="AW31" s="3" t="s">
        <v>6</v>
      </c>
      <c r="AX31" s="3" t="s">
        <v>246</v>
      </c>
      <c r="AY31" s="3" t="s">
        <v>248</v>
      </c>
    </row>
    <row r="32" spans="2:51" x14ac:dyDescent="0.25">
      <c r="B32" s="10" t="s">
        <v>141</v>
      </c>
      <c r="C32" s="10" t="s">
        <v>260</v>
      </c>
      <c r="D32" s="5">
        <v>164500</v>
      </c>
      <c r="E32" s="5">
        <v>233000</v>
      </c>
      <c r="F32" s="15">
        <f>N44</f>
        <v>266648</v>
      </c>
      <c r="I32" s="45" t="s">
        <v>213</v>
      </c>
      <c r="J32" s="46" t="s">
        <v>210</v>
      </c>
      <c r="K32" s="46" t="s">
        <v>211</v>
      </c>
      <c r="L32" s="46" t="s">
        <v>212</v>
      </c>
      <c r="AY32" s="3" t="s">
        <v>247</v>
      </c>
    </row>
    <row r="33" spans="2:48" x14ac:dyDescent="0.25">
      <c r="B33" s="10" t="s">
        <v>141</v>
      </c>
      <c r="C33" s="10" t="s">
        <v>261</v>
      </c>
      <c r="D33" s="5">
        <v>275000</v>
      </c>
      <c r="E33" s="5">
        <v>275000</v>
      </c>
      <c r="F33" s="15">
        <f>E33</f>
        <v>275000</v>
      </c>
      <c r="I33" s="5" t="s">
        <v>86</v>
      </c>
      <c r="J33" s="30" cm="1">
        <f t="array" ref="J33">MIN(IF(Model[[type]:[type]]=$I33,Model[[cD-mu*cL]:[cD-mu*cL]]))</f>
        <v>0.12535473080637963</v>
      </c>
      <c r="K33" s="30" cm="1">
        <f t="array" ref="K33">AVERAGE(IF(Model[[type]:[type]]=$I33,Model[[cD-mu*cL]:[cD-mu*cL]]))</f>
        <v>0.13216783922391886</v>
      </c>
      <c r="L33" s="30" cm="1">
        <f t="array" ref="L33">MAX(IF(Model[[type]:[type]]=$I33,Model[[cD-mu*cL]:[cD-mu*cL]]))</f>
        <v>0.1389809476414581</v>
      </c>
      <c r="AU33" s="3" t="s">
        <v>245</v>
      </c>
    </row>
    <row r="34" spans="2:48" x14ac:dyDescent="0.25">
      <c r="B34" s="10" t="s">
        <v>140</v>
      </c>
      <c r="C34" s="10" t="s">
        <v>260</v>
      </c>
      <c r="D34" s="5">
        <v>45500</v>
      </c>
      <c r="E34" s="5">
        <v>74500</v>
      </c>
      <c r="F34" s="15">
        <f>N45</f>
        <v>82962.7</v>
      </c>
      <c r="I34" s="5" t="s">
        <v>141</v>
      </c>
      <c r="J34" s="30" cm="1">
        <f t="array" ref="J34">MIN(IF(Model[[type]:[type]]=$I34,Model[[cD-mu*cL]:[cD-mu*cL]]))</f>
        <v>4.8131678626198271E-2</v>
      </c>
      <c r="K34" s="30" cm="1">
        <f t="array" ref="K34">AVERAGE(IF(Model[[type]:[type]]=$I34,Model[[cD-mu*cL]:[cD-mu*cL]]))</f>
        <v>8.9619439604899903E-2</v>
      </c>
      <c r="L34" s="30" cm="1">
        <f t="array" ref="L34">MAX(IF(Model[[type]:[type]]=$I34,Model[[cD-mu*cL]:[cD-mu*cL]]))</f>
        <v>0.13110720058360154</v>
      </c>
      <c r="AU34" s="3" t="s">
        <v>240</v>
      </c>
      <c r="AV34" s="3">
        <v>35</v>
      </c>
    </row>
    <row r="35" spans="2:48" x14ac:dyDescent="0.25">
      <c r="B35" s="10" t="s">
        <v>140</v>
      </c>
      <c r="C35" s="10" t="s">
        <v>261</v>
      </c>
      <c r="D35" s="5">
        <v>88000</v>
      </c>
      <c r="E35" s="5">
        <v>88000</v>
      </c>
      <c r="F35" s="15">
        <f>E35</f>
        <v>88000</v>
      </c>
      <c r="I35" s="5" t="s">
        <v>140</v>
      </c>
      <c r="J35" s="30" cm="1">
        <f t="array" ref="J35">MIN(IF(Model[[type]:[type]]=$I35,Model[[cD-mu*cL]:[cD-mu*cL]]))</f>
        <v>6.1796016786390642E-2</v>
      </c>
      <c r="K35" s="30" cm="1">
        <f t="array" ref="K35">AVERAGE(IF(Model[[type]:[type]]=$I35,Model[[cD-mu*cL]:[cD-mu*cL]]))</f>
        <v>8.760059830809469E-2</v>
      </c>
      <c r="L35" s="30" cm="1">
        <f t="array" ref="L35">MAX(IF(Model[[type]:[type]]=$I35,Model[[cD-mu*cL]:[cD-mu*cL]]))</f>
        <v>0.11340517982979875</v>
      </c>
      <c r="AU35" s="3" t="s">
        <v>242</v>
      </c>
      <c r="AV35" s="3">
        <v>7.7</v>
      </c>
    </row>
    <row r="36" spans="2:48" x14ac:dyDescent="0.25">
      <c r="B36" s="10" t="s">
        <v>142</v>
      </c>
      <c r="C36" s="10" t="s">
        <v>260</v>
      </c>
      <c r="D36" s="5">
        <v>175000</v>
      </c>
      <c r="E36" s="5">
        <v>215000</v>
      </c>
      <c r="F36" s="15">
        <f>N46</f>
        <v>246274.4</v>
      </c>
      <c r="I36" s="5" t="s">
        <v>142</v>
      </c>
      <c r="J36" s="30" cm="1">
        <f t="array" ref="J36">MIN(IF(Model[[type]:[type]]=$I36,Model[[cD-mu*cL]:[cD-mu*cL]]))</f>
        <v>8.114142521214518E-2</v>
      </c>
      <c r="K36" s="30" cm="1">
        <f t="array" ref="K36">AVERAGE(IF(Model[[type]:[type]]=$I36,Model[[cD-mu*cL]:[cD-mu*cL]]))</f>
        <v>0.10344493986579417</v>
      </c>
      <c r="L36" s="30" cm="1">
        <f t="array" ref="L36">MAX(IF(Model[[type]:[type]]=$I36,Model[[cD-mu*cL]:[cD-mu*cL]]))</f>
        <v>0.12574845451944316</v>
      </c>
      <c r="AU36" s="3" t="s">
        <v>243</v>
      </c>
      <c r="AV36" s="3">
        <f>AV34/COS(AV35)*ft_to_m</f>
        <v>69.555528290513578</v>
      </c>
    </row>
    <row r="37" spans="2:48" x14ac:dyDescent="0.25">
      <c r="B37" s="10" t="s">
        <v>142</v>
      </c>
      <c r="C37" s="10" t="s">
        <v>261</v>
      </c>
      <c r="D37" s="5">
        <v>254000</v>
      </c>
      <c r="E37" s="5">
        <v>254000</v>
      </c>
      <c r="F37" s="15">
        <f>E37</f>
        <v>254000</v>
      </c>
      <c r="I37" s="22" t="s">
        <v>215</v>
      </c>
      <c r="J37" s="43">
        <f>MIN(Model[[cD-mu*cL]:[cD-mu*cL]])</f>
        <v>4.8131678626198271E-2</v>
      </c>
      <c r="K37" s="43">
        <f>AVERAGE(Model[[cD-mu*cL]:[cD-mu*cL]])</f>
        <v>0.10320820425067692</v>
      </c>
      <c r="L37" s="43">
        <f>MAX(Model[[cD-mu*cL]:[cD-mu*cL]])</f>
        <v>0.1389809476414581</v>
      </c>
    </row>
    <row r="41" spans="2:48" x14ac:dyDescent="0.25">
      <c r="L41" s="4" t="s">
        <v>257</v>
      </c>
    </row>
    <row r="42" spans="2:48" x14ac:dyDescent="0.25">
      <c r="C42" s="54" t="s">
        <v>177</v>
      </c>
      <c r="D42" s="48" t="s">
        <v>216</v>
      </c>
      <c r="E42" s="48" t="s">
        <v>250</v>
      </c>
      <c r="F42" s="48" t="s">
        <v>251</v>
      </c>
      <c r="G42" s="54"/>
      <c r="H42" s="48" t="s">
        <v>252</v>
      </c>
      <c r="I42" s="48" t="s">
        <v>253</v>
      </c>
      <c r="J42" s="47" t="s">
        <v>214</v>
      </c>
      <c r="L42" s="56">
        <v>0.7</v>
      </c>
      <c r="M42" s="4" t="s">
        <v>256</v>
      </c>
      <c r="N42" s="4" t="s">
        <v>258</v>
      </c>
    </row>
    <row r="43" spans="2:48" x14ac:dyDescent="0.25">
      <c r="B43" s="10" t="s">
        <v>86</v>
      </c>
      <c r="C43" s="10">
        <v>77000</v>
      </c>
      <c r="D43" s="5">
        <v>65250</v>
      </c>
      <c r="E43" s="12">
        <f>1-D43/C43</f>
        <v>0.15259740259740262</v>
      </c>
      <c r="F43" s="5">
        <f>C43-D43</f>
        <v>11750</v>
      </c>
      <c r="G43" s="2"/>
      <c r="H43" s="5">
        <v>170</v>
      </c>
      <c r="I43" s="5">
        <f>H43*87</f>
        <v>14790</v>
      </c>
      <c r="J43" s="55">
        <f>I43/C43</f>
        <v>0.19207792207792207</v>
      </c>
      <c r="K43" s="4" t="s">
        <v>254</v>
      </c>
      <c r="L43" s="4">
        <f>H43*$L$42</f>
        <v>118.99999999999999</v>
      </c>
      <c r="M43" s="4">
        <f>H43-L43</f>
        <v>51.000000000000014</v>
      </c>
      <c r="N43" s="5">
        <f>C43-M43*87</f>
        <v>72563</v>
      </c>
    </row>
    <row r="44" spans="2:48" x14ac:dyDescent="0.25">
      <c r="B44" s="10" t="s">
        <v>141</v>
      </c>
      <c r="C44" s="10">
        <v>275000</v>
      </c>
      <c r="D44" s="5">
        <v>164500</v>
      </c>
      <c r="E44" s="12">
        <f t="shared" ref="E44:E46" si="4">1-D44/C44</f>
        <v>0.40181818181818185</v>
      </c>
      <c r="F44" s="5">
        <f t="shared" ref="F44:F46" si="5">C44-D44</f>
        <v>110500</v>
      </c>
      <c r="G44" s="2"/>
      <c r="H44" s="5">
        <v>320</v>
      </c>
      <c r="I44" s="5">
        <f t="shared" ref="I44:I46" si="6">H44*87</f>
        <v>27840</v>
      </c>
      <c r="J44" s="55">
        <f t="shared" ref="J44:J46" si="7">I44/C44</f>
        <v>0.10123636363636364</v>
      </c>
      <c r="K44" s="4" t="s">
        <v>255</v>
      </c>
      <c r="L44" s="4">
        <f t="shared" ref="L44:L46" si="8">H44*$L$42</f>
        <v>224</v>
      </c>
      <c r="M44" s="4">
        <f t="shared" ref="M44:M46" si="9">H44-L44</f>
        <v>96</v>
      </c>
      <c r="N44" s="5">
        <f t="shared" ref="N44:N46" si="10">C44-M44*87</f>
        <v>266648</v>
      </c>
    </row>
    <row r="45" spans="2:48" x14ac:dyDescent="0.25">
      <c r="B45" s="10" t="s">
        <v>140</v>
      </c>
      <c r="C45" s="10">
        <v>88000</v>
      </c>
      <c r="D45" s="5">
        <v>45500</v>
      </c>
      <c r="E45" s="12">
        <f t="shared" si="4"/>
        <v>0.48295454545454541</v>
      </c>
      <c r="F45" s="5">
        <f t="shared" si="5"/>
        <v>42500</v>
      </c>
      <c r="G45" s="2"/>
      <c r="H45" s="5">
        <v>193</v>
      </c>
      <c r="I45" s="5">
        <f t="shared" si="6"/>
        <v>16791</v>
      </c>
      <c r="J45" s="55">
        <f t="shared" si="7"/>
        <v>0.19080681818181819</v>
      </c>
      <c r="K45" s="4" t="s">
        <v>254</v>
      </c>
      <c r="L45" s="4">
        <f t="shared" si="8"/>
        <v>135.1</v>
      </c>
      <c r="M45" s="4">
        <f t="shared" si="9"/>
        <v>57.900000000000006</v>
      </c>
      <c r="N45" s="5">
        <f t="shared" si="10"/>
        <v>82962.7</v>
      </c>
    </row>
    <row r="46" spans="2:48" x14ac:dyDescent="0.25">
      <c r="B46" s="10" t="s">
        <v>142</v>
      </c>
      <c r="C46" s="10">
        <v>254000</v>
      </c>
      <c r="D46" s="5">
        <v>175000</v>
      </c>
      <c r="E46" s="12">
        <f t="shared" si="4"/>
        <v>0.3110236220472441</v>
      </c>
      <c r="F46" s="5">
        <f t="shared" si="5"/>
        <v>79000</v>
      </c>
      <c r="G46" s="2"/>
      <c r="H46" s="5">
        <v>296</v>
      </c>
      <c r="I46" s="5">
        <f t="shared" si="6"/>
        <v>25752</v>
      </c>
      <c r="J46" s="55">
        <f t="shared" si="7"/>
        <v>0.10138582677165354</v>
      </c>
      <c r="K46" s="4" t="s">
        <v>255</v>
      </c>
      <c r="L46" s="4">
        <f t="shared" si="8"/>
        <v>207.2</v>
      </c>
      <c r="M46" s="4">
        <f t="shared" si="9"/>
        <v>88.800000000000011</v>
      </c>
      <c r="N46" s="5">
        <f t="shared" si="10"/>
        <v>246274.4</v>
      </c>
    </row>
  </sheetData>
  <scenarios current="0">
    <scenario name="A20n" count="1" user="Thomas D. Pellegrin" comment="Created by Thomas D. Pellegrin on 4/17/2022">
      <inputCells r="X2" val="1.7896906171035" numFmtId="43"/>
    </scenario>
  </scenarios>
  <phoneticPr fontId="18" type="noConversion"/>
  <dataValidations count="2">
    <dataValidation type="list" allowBlank="1" showInputMessage="1" showErrorMessage="1" sqref="D15" xr:uid="{DC003DBB-43AD-41FD-BBAE-CA6285E4F525}">
      <formula1>"Incl. flaps, Excl. flaps"</formula1>
    </dataValidation>
    <dataValidation type="list" allowBlank="1" showInputMessage="1" showErrorMessage="1" sqref="D16" xr:uid="{08F8420B-607B-44B0-AABD-8A8CF755A3A4}">
      <formula1>"Degrees, Radians"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C980"/>
  <sheetViews>
    <sheetView showGridLines="0" workbookViewId="0"/>
  </sheetViews>
  <sheetFormatPr defaultRowHeight="15" x14ac:dyDescent="0.25"/>
  <cols>
    <col min="3" max="3" width="10.28515625" customWidth="1"/>
  </cols>
  <sheetData>
    <row r="1" spans="1:3" x14ac:dyDescent="0.25">
      <c r="A1" t="s">
        <v>85</v>
      </c>
      <c r="B1" t="s">
        <v>6</v>
      </c>
      <c r="C1" t="s">
        <v>131</v>
      </c>
    </row>
    <row r="2" spans="1:3" x14ac:dyDescent="0.25">
      <c r="A2" t="s">
        <v>86</v>
      </c>
      <c r="B2" s="10">
        <v>65250</v>
      </c>
      <c r="C2" s="10">
        <v>1291.5</v>
      </c>
    </row>
    <row r="3" spans="1:3" x14ac:dyDescent="0.25">
      <c r="A3" s="10" t="s">
        <v>86</v>
      </c>
      <c r="B3" s="10">
        <v>65500</v>
      </c>
      <c r="C3" s="10">
        <v>1299.5</v>
      </c>
    </row>
    <row r="4" spans="1:3" x14ac:dyDescent="0.25">
      <c r="A4" s="10" t="s">
        <v>86</v>
      </c>
      <c r="B4" s="10">
        <v>65750</v>
      </c>
      <c r="C4" s="10">
        <v>1309.4000000000001</v>
      </c>
    </row>
    <row r="5" spans="1:3" x14ac:dyDescent="0.25">
      <c r="A5" s="10" t="s">
        <v>86</v>
      </c>
      <c r="B5" s="10">
        <v>66000</v>
      </c>
      <c r="C5" s="10">
        <v>1319.4</v>
      </c>
    </row>
    <row r="6" spans="1:3" x14ac:dyDescent="0.25">
      <c r="A6" s="10" t="s">
        <v>86</v>
      </c>
      <c r="B6" s="10">
        <v>66250</v>
      </c>
      <c r="C6" s="10">
        <v>1329.3</v>
      </c>
    </row>
    <row r="7" spans="1:3" x14ac:dyDescent="0.25">
      <c r="A7" s="10" t="s">
        <v>86</v>
      </c>
      <c r="B7" s="10">
        <v>66500</v>
      </c>
      <c r="C7" s="10">
        <v>1339.3</v>
      </c>
    </row>
    <row r="8" spans="1:3" x14ac:dyDescent="0.25">
      <c r="A8" s="10" t="s">
        <v>86</v>
      </c>
      <c r="B8" s="10">
        <v>66750</v>
      </c>
      <c r="C8" s="10">
        <v>1351.2</v>
      </c>
    </row>
    <row r="9" spans="1:3" x14ac:dyDescent="0.25">
      <c r="A9" s="10" t="s">
        <v>86</v>
      </c>
      <c r="B9" s="10">
        <v>67000</v>
      </c>
      <c r="C9" s="10">
        <v>1363.2</v>
      </c>
    </row>
    <row r="10" spans="1:3" x14ac:dyDescent="0.25">
      <c r="A10" s="10" t="s">
        <v>86</v>
      </c>
      <c r="B10" s="10">
        <v>67250</v>
      </c>
      <c r="C10" s="10">
        <v>1373.2</v>
      </c>
    </row>
    <row r="11" spans="1:3" x14ac:dyDescent="0.25">
      <c r="A11" s="10" t="s">
        <v>86</v>
      </c>
      <c r="B11" s="10">
        <v>67500</v>
      </c>
      <c r="C11" s="10">
        <v>1383.1</v>
      </c>
    </row>
    <row r="12" spans="1:3" x14ac:dyDescent="0.25">
      <c r="A12" s="10" t="s">
        <v>86</v>
      </c>
      <c r="B12" s="10">
        <v>67750</v>
      </c>
      <c r="C12" s="10">
        <v>1393.1</v>
      </c>
    </row>
    <row r="13" spans="1:3" x14ac:dyDescent="0.25">
      <c r="A13" s="10" t="s">
        <v>86</v>
      </c>
      <c r="B13" s="10">
        <v>68000</v>
      </c>
      <c r="C13" s="10">
        <v>1403</v>
      </c>
    </row>
    <row r="14" spans="1:3" x14ac:dyDescent="0.25">
      <c r="A14" s="10" t="s">
        <v>86</v>
      </c>
      <c r="B14" s="10">
        <v>68250</v>
      </c>
      <c r="C14" s="10">
        <v>1413</v>
      </c>
    </row>
    <row r="15" spans="1:3" x14ac:dyDescent="0.25">
      <c r="A15" s="10" t="s">
        <v>86</v>
      </c>
      <c r="B15" s="10">
        <v>68500</v>
      </c>
      <c r="C15" s="10">
        <v>1424.9</v>
      </c>
    </row>
    <row r="16" spans="1:3" x14ac:dyDescent="0.25">
      <c r="A16" s="10" t="s">
        <v>86</v>
      </c>
      <c r="B16" s="10">
        <v>68750</v>
      </c>
      <c r="C16" s="10">
        <v>1434.9</v>
      </c>
    </row>
    <row r="17" spans="1:3" x14ac:dyDescent="0.25">
      <c r="A17" s="10" t="s">
        <v>86</v>
      </c>
      <c r="B17" s="10">
        <v>69000</v>
      </c>
      <c r="C17" s="10">
        <v>1446.3</v>
      </c>
    </row>
    <row r="18" spans="1:3" x14ac:dyDescent="0.25">
      <c r="A18" s="10" t="s">
        <v>86</v>
      </c>
      <c r="B18" s="10">
        <v>69250</v>
      </c>
      <c r="C18" s="10">
        <v>1457.8</v>
      </c>
    </row>
    <row r="19" spans="1:3" x14ac:dyDescent="0.25">
      <c r="A19" s="10" t="s">
        <v>86</v>
      </c>
      <c r="B19" s="10">
        <v>69500</v>
      </c>
      <c r="C19" s="10">
        <v>1468.7</v>
      </c>
    </row>
    <row r="20" spans="1:3" x14ac:dyDescent="0.25">
      <c r="A20" s="10" t="s">
        <v>86</v>
      </c>
      <c r="B20" s="10">
        <v>69750</v>
      </c>
      <c r="C20" s="10">
        <v>1480.1</v>
      </c>
    </row>
    <row r="21" spans="1:3" x14ac:dyDescent="0.25">
      <c r="A21" s="10" t="s">
        <v>86</v>
      </c>
      <c r="B21" s="10">
        <v>70000</v>
      </c>
      <c r="C21" s="10">
        <v>1490.6</v>
      </c>
    </row>
    <row r="22" spans="1:3" x14ac:dyDescent="0.25">
      <c r="A22" s="10" t="s">
        <v>86</v>
      </c>
      <c r="B22" s="10">
        <v>70250</v>
      </c>
      <c r="C22" s="10">
        <v>1502.1</v>
      </c>
    </row>
    <row r="23" spans="1:3" x14ac:dyDescent="0.25">
      <c r="A23" s="10" t="s">
        <v>86</v>
      </c>
      <c r="B23" s="10">
        <v>70500</v>
      </c>
      <c r="C23" s="10">
        <v>1512.3</v>
      </c>
    </row>
    <row r="24" spans="1:3" x14ac:dyDescent="0.25">
      <c r="A24" s="10" t="s">
        <v>86</v>
      </c>
      <c r="B24" s="10">
        <v>70750</v>
      </c>
      <c r="C24" s="10">
        <v>1523.8</v>
      </c>
    </row>
    <row r="25" spans="1:3" x14ac:dyDescent="0.25">
      <c r="A25" s="10" t="s">
        <v>86</v>
      </c>
      <c r="B25" s="10">
        <v>71000</v>
      </c>
      <c r="C25" s="10">
        <v>1534.4</v>
      </c>
    </row>
    <row r="26" spans="1:3" x14ac:dyDescent="0.25">
      <c r="A26" s="10" t="s">
        <v>86</v>
      </c>
      <c r="B26" s="10">
        <v>71250</v>
      </c>
      <c r="C26" s="10">
        <v>1546.4</v>
      </c>
    </row>
    <row r="27" spans="1:3" x14ac:dyDescent="0.25">
      <c r="A27" s="10" t="s">
        <v>86</v>
      </c>
      <c r="B27" s="10">
        <v>71500</v>
      </c>
      <c r="C27" s="10">
        <v>1558.3</v>
      </c>
    </row>
    <row r="28" spans="1:3" x14ac:dyDescent="0.25">
      <c r="A28" s="10" t="s">
        <v>86</v>
      </c>
      <c r="B28" s="10">
        <v>71750</v>
      </c>
      <c r="C28" s="10">
        <v>1568.3</v>
      </c>
    </row>
    <row r="29" spans="1:3" x14ac:dyDescent="0.25">
      <c r="A29" s="10" t="s">
        <v>86</v>
      </c>
      <c r="B29" s="10">
        <v>72000</v>
      </c>
      <c r="C29" s="10">
        <v>1578.2</v>
      </c>
    </row>
    <row r="30" spans="1:3" x14ac:dyDescent="0.25">
      <c r="A30" s="10" t="s">
        <v>86</v>
      </c>
      <c r="B30" s="10">
        <v>72250</v>
      </c>
      <c r="C30" s="10">
        <v>1590.2</v>
      </c>
    </row>
    <row r="31" spans="1:3" x14ac:dyDescent="0.25">
      <c r="A31" s="10" t="s">
        <v>86</v>
      </c>
      <c r="B31" s="10">
        <v>72500</v>
      </c>
      <c r="C31" s="10">
        <v>1602.1</v>
      </c>
    </row>
    <row r="32" spans="1:3" x14ac:dyDescent="0.25">
      <c r="A32" s="10" t="s">
        <v>86</v>
      </c>
      <c r="B32" s="10">
        <v>72750</v>
      </c>
      <c r="C32" s="10">
        <v>1614.7</v>
      </c>
    </row>
    <row r="33" spans="1:3" x14ac:dyDescent="0.25">
      <c r="A33" s="10" t="s">
        <v>86</v>
      </c>
      <c r="B33" s="10">
        <v>73000</v>
      </c>
      <c r="C33" s="10">
        <v>1626</v>
      </c>
    </row>
    <row r="34" spans="1:3" x14ac:dyDescent="0.25">
      <c r="A34" s="10" t="s">
        <v>86</v>
      </c>
      <c r="B34" s="10">
        <v>73250</v>
      </c>
      <c r="C34" s="10">
        <v>1638</v>
      </c>
    </row>
    <row r="35" spans="1:3" x14ac:dyDescent="0.25">
      <c r="A35" s="10" t="s">
        <v>86</v>
      </c>
      <c r="B35" s="10">
        <v>73500</v>
      </c>
      <c r="C35" s="10">
        <v>1649.9</v>
      </c>
    </row>
    <row r="36" spans="1:3" x14ac:dyDescent="0.25">
      <c r="A36" s="10" t="s">
        <v>86</v>
      </c>
      <c r="B36" s="10">
        <v>73750</v>
      </c>
      <c r="C36" s="10">
        <v>1661.9</v>
      </c>
    </row>
    <row r="37" spans="1:3" x14ac:dyDescent="0.25">
      <c r="A37" s="10" t="s">
        <v>86</v>
      </c>
      <c r="B37" s="10">
        <v>74000</v>
      </c>
      <c r="C37" s="10">
        <v>1671.8</v>
      </c>
    </row>
    <row r="38" spans="1:3" x14ac:dyDescent="0.25">
      <c r="A38" s="10" t="s">
        <v>86</v>
      </c>
      <c r="B38" s="10">
        <v>74250</v>
      </c>
      <c r="C38" s="10">
        <v>1681.8</v>
      </c>
    </row>
    <row r="39" spans="1:3" x14ac:dyDescent="0.25">
      <c r="A39" s="10" t="s">
        <v>86</v>
      </c>
      <c r="B39" s="10">
        <v>74500</v>
      </c>
      <c r="C39" s="10">
        <v>1697.7</v>
      </c>
    </row>
    <row r="40" spans="1:3" x14ac:dyDescent="0.25">
      <c r="A40" s="10" t="s">
        <v>86</v>
      </c>
      <c r="B40" s="10">
        <v>74750</v>
      </c>
      <c r="C40" s="10">
        <v>1709.7</v>
      </c>
    </row>
    <row r="41" spans="1:3" x14ac:dyDescent="0.25">
      <c r="A41" s="10" t="s">
        <v>86</v>
      </c>
      <c r="B41" s="10">
        <v>75000</v>
      </c>
      <c r="C41" s="10">
        <v>1721.6</v>
      </c>
    </row>
    <row r="42" spans="1:3" x14ac:dyDescent="0.25">
      <c r="A42" s="10" t="s">
        <v>86</v>
      </c>
      <c r="B42" s="10">
        <v>75250</v>
      </c>
      <c r="C42" s="10">
        <v>1733.6</v>
      </c>
    </row>
    <row r="43" spans="1:3" x14ac:dyDescent="0.25">
      <c r="A43" s="10" t="s">
        <v>86</v>
      </c>
      <c r="B43" s="10">
        <v>75500</v>
      </c>
      <c r="C43" s="10">
        <v>1745.5</v>
      </c>
    </row>
    <row r="44" spans="1:3" x14ac:dyDescent="0.25">
      <c r="A44" s="10" t="s">
        <v>86</v>
      </c>
      <c r="B44" s="10">
        <v>75750</v>
      </c>
      <c r="C44" s="10">
        <v>1757.5</v>
      </c>
    </row>
    <row r="45" spans="1:3" x14ac:dyDescent="0.25">
      <c r="A45" s="10" t="s">
        <v>86</v>
      </c>
      <c r="B45" s="10">
        <v>76000</v>
      </c>
      <c r="C45" s="10">
        <v>1769.8</v>
      </c>
    </row>
    <row r="46" spans="1:3" x14ac:dyDescent="0.25">
      <c r="A46" s="10" t="s">
        <v>86</v>
      </c>
      <c r="B46" s="10">
        <v>76250</v>
      </c>
      <c r="C46" s="10">
        <v>1782.7</v>
      </c>
    </row>
    <row r="47" spans="1:3" x14ac:dyDescent="0.25">
      <c r="A47" s="10" t="s">
        <v>86</v>
      </c>
      <c r="B47" s="10">
        <v>76500</v>
      </c>
      <c r="C47" s="10">
        <v>1795.3</v>
      </c>
    </row>
    <row r="48" spans="1:3" x14ac:dyDescent="0.25">
      <c r="A48" s="10" t="s">
        <v>86</v>
      </c>
      <c r="B48" s="10">
        <v>76750</v>
      </c>
      <c r="C48" s="10">
        <v>1808.6</v>
      </c>
    </row>
    <row r="49" spans="1:3" x14ac:dyDescent="0.25">
      <c r="A49" s="10" t="s">
        <v>86</v>
      </c>
      <c r="B49" s="10">
        <v>77000</v>
      </c>
      <c r="C49" s="10">
        <v>1821.5</v>
      </c>
    </row>
    <row r="50" spans="1:3" x14ac:dyDescent="0.25">
      <c r="A50" t="s">
        <v>141</v>
      </c>
      <c r="B50" s="10">
        <v>164500</v>
      </c>
      <c r="C50" s="10">
        <v>1581.1</v>
      </c>
    </row>
    <row r="51" spans="1:3" x14ac:dyDescent="0.25">
      <c r="A51" s="10" t="s">
        <v>141</v>
      </c>
      <c r="B51" s="10">
        <v>164750</v>
      </c>
      <c r="C51" s="10">
        <v>1581.1</v>
      </c>
    </row>
    <row r="52" spans="1:3" x14ac:dyDescent="0.25">
      <c r="A52" s="10" t="s">
        <v>141</v>
      </c>
      <c r="B52" s="10">
        <v>165000</v>
      </c>
      <c r="C52" s="10">
        <v>1582.4</v>
      </c>
    </row>
    <row r="53" spans="1:3" x14ac:dyDescent="0.25">
      <c r="A53" s="10" t="s">
        <v>141</v>
      </c>
      <c r="B53" s="10">
        <v>165250</v>
      </c>
      <c r="C53" s="10">
        <v>1582.4</v>
      </c>
    </row>
    <row r="54" spans="1:3" x14ac:dyDescent="0.25">
      <c r="A54" s="10" t="s">
        <v>141</v>
      </c>
      <c r="B54" s="10">
        <v>165500</v>
      </c>
      <c r="C54" s="10">
        <v>1583.7</v>
      </c>
    </row>
    <row r="55" spans="1:3" x14ac:dyDescent="0.25">
      <c r="A55" s="10" t="s">
        <v>141</v>
      </c>
      <c r="B55" s="10">
        <v>165750</v>
      </c>
      <c r="C55" s="10">
        <v>1585</v>
      </c>
    </row>
    <row r="56" spans="1:3" x14ac:dyDescent="0.25">
      <c r="A56" s="10" t="s">
        <v>141</v>
      </c>
      <c r="B56" s="10">
        <v>166000</v>
      </c>
      <c r="C56" s="10">
        <v>1585</v>
      </c>
    </row>
    <row r="57" spans="1:3" x14ac:dyDescent="0.25">
      <c r="A57" s="10" t="s">
        <v>141</v>
      </c>
      <c r="B57" s="10">
        <v>166250</v>
      </c>
      <c r="C57" s="10">
        <v>1586.3</v>
      </c>
    </row>
    <row r="58" spans="1:3" x14ac:dyDescent="0.25">
      <c r="A58" s="10" t="s">
        <v>141</v>
      </c>
      <c r="B58" s="10">
        <v>166500</v>
      </c>
      <c r="C58" s="10">
        <v>1587.6</v>
      </c>
    </row>
    <row r="59" spans="1:3" x14ac:dyDescent="0.25">
      <c r="A59" s="10" t="s">
        <v>141</v>
      </c>
      <c r="B59" s="10">
        <v>166750</v>
      </c>
      <c r="C59" s="10">
        <v>1587.6</v>
      </c>
    </row>
    <row r="60" spans="1:3" x14ac:dyDescent="0.25">
      <c r="A60" s="10" t="s">
        <v>141</v>
      </c>
      <c r="B60" s="10">
        <v>167000</v>
      </c>
      <c r="C60" s="10">
        <v>1588.9</v>
      </c>
    </row>
    <row r="61" spans="1:3" x14ac:dyDescent="0.25">
      <c r="A61" s="10" t="s">
        <v>141</v>
      </c>
      <c r="B61" s="10">
        <v>167250</v>
      </c>
      <c r="C61" s="10">
        <v>1590.1</v>
      </c>
    </row>
    <row r="62" spans="1:3" x14ac:dyDescent="0.25">
      <c r="A62" s="10" t="s">
        <v>141</v>
      </c>
      <c r="B62" s="10">
        <v>167500</v>
      </c>
      <c r="C62" s="10">
        <v>1590.1</v>
      </c>
    </row>
    <row r="63" spans="1:3" x14ac:dyDescent="0.25">
      <c r="A63" s="10" t="s">
        <v>141</v>
      </c>
      <c r="B63" s="10">
        <v>167750</v>
      </c>
      <c r="C63" s="10">
        <v>1591.4</v>
      </c>
    </row>
    <row r="64" spans="1:3" x14ac:dyDescent="0.25">
      <c r="A64" s="10" t="s">
        <v>141</v>
      </c>
      <c r="B64" s="10">
        <v>168000</v>
      </c>
      <c r="C64" s="10">
        <v>1592.7</v>
      </c>
    </row>
    <row r="65" spans="1:3" x14ac:dyDescent="0.25">
      <c r="A65" s="10" t="s">
        <v>141</v>
      </c>
      <c r="B65" s="10">
        <v>168250</v>
      </c>
      <c r="C65" s="10">
        <v>1594</v>
      </c>
    </row>
    <row r="66" spans="1:3" x14ac:dyDescent="0.25">
      <c r="A66" s="10" t="s">
        <v>141</v>
      </c>
      <c r="B66" s="10">
        <v>168500</v>
      </c>
      <c r="C66" s="10">
        <v>1594</v>
      </c>
    </row>
    <row r="67" spans="1:3" x14ac:dyDescent="0.25">
      <c r="A67" s="10" t="s">
        <v>141</v>
      </c>
      <c r="B67" s="10">
        <v>168750</v>
      </c>
      <c r="C67" s="10">
        <v>1595.3</v>
      </c>
    </row>
    <row r="68" spans="1:3" x14ac:dyDescent="0.25">
      <c r="A68" s="10" t="s">
        <v>141</v>
      </c>
      <c r="B68" s="10">
        <v>169000</v>
      </c>
      <c r="C68" s="10">
        <v>1596.6</v>
      </c>
    </row>
    <row r="69" spans="1:3" x14ac:dyDescent="0.25">
      <c r="A69" s="10" t="s">
        <v>141</v>
      </c>
      <c r="B69" s="10">
        <v>169250</v>
      </c>
      <c r="C69" s="10">
        <v>1597.9</v>
      </c>
    </row>
    <row r="70" spans="1:3" x14ac:dyDescent="0.25">
      <c r="A70" s="10" t="s">
        <v>141</v>
      </c>
      <c r="B70" s="10">
        <v>169500</v>
      </c>
      <c r="C70" s="10">
        <v>1597.9</v>
      </c>
    </row>
    <row r="71" spans="1:3" x14ac:dyDescent="0.25">
      <c r="A71" s="10" t="s">
        <v>141</v>
      </c>
      <c r="B71" s="10">
        <v>169750</v>
      </c>
      <c r="C71" s="10">
        <v>1599.2</v>
      </c>
    </row>
    <row r="72" spans="1:3" x14ac:dyDescent="0.25">
      <c r="A72" s="10" t="s">
        <v>141</v>
      </c>
      <c r="B72" s="10">
        <v>170000</v>
      </c>
      <c r="C72" s="10">
        <v>1599.2</v>
      </c>
    </row>
    <row r="73" spans="1:3" x14ac:dyDescent="0.25">
      <c r="A73" s="10" t="s">
        <v>141</v>
      </c>
      <c r="B73" s="10">
        <v>170250</v>
      </c>
      <c r="C73" s="10">
        <v>1600.5</v>
      </c>
    </row>
    <row r="74" spans="1:3" x14ac:dyDescent="0.25">
      <c r="A74" s="10" t="s">
        <v>141</v>
      </c>
      <c r="B74" s="10">
        <v>170500</v>
      </c>
      <c r="C74" s="10">
        <v>1601.8</v>
      </c>
    </row>
    <row r="75" spans="1:3" x14ac:dyDescent="0.25">
      <c r="A75" s="10" t="s">
        <v>141</v>
      </c>
      <c r="B75" s="10">
        <v>170750</v>
      </c>
      <c r="C75" s="10">
        <v>1603.1</v>
      </c>
    </row>
    <row r="76" spans="1:3" x14ac:dyDescent="0.25">
      <c r="A76" s="10" t="s">
        <v>141</v>
      </c>
      <c r="B76" s="10">
        <v>171000</v>
      </c>
      <c r="C76" s="10">
        <v>1603.1</v>
      </c>
    </row>
    <row r="77" spans="1:3" x14ac:dyDescent="0.25">
      <c r="A77" s="10" t="s">
        <v>141</v>
      </c>
      <c r="B77" s="10">
        <v>171250</v>
      </c>
      <c r="C77" s="10">
        <v>1604.4</v>
      </c>
    </row>
    <row r="78" spans="1:3" x14ac:dyDescent="0.25">
      <c r="A78" s="10" t="s">
        <v>141</v>
      </c>
      <c r="B78" s="10">
        <v>171500</v>
      </c>
      <c r="C78" s="10">
        <v>1605.7</v>
      </c>
    </row>
    <row r="79" spans="1:3" x14ac:dyDescent="0.25">
      <c r="A79" s="10" t="s">
        <v>141</v>
      </c>
      <c r="B79" s="10">
        <v>171750</v>
      </c>
      <c r="C79" s="10">
        <v>1605.7</v>
      </c>
    </row>
    <row r="80" spans="1:3" x14ac:dyDescent="0.25">
      <c r="A80" s="10" t="s">
        <v>141</v>
      </c>
      <c r="B80" s="10">
        <v>172000</v>
      </c>
      <c r="C80" s="10">
        <v>1606.9</v>
      </c>
    </row>
    <row r="81" spans="1:3" x14ac:dyDescent="0.25">
      <c r="A81" s="10" t="s">
        <v>141</v>
      </c>
      <c r="B81" s="10">
        <v>172250</v>
      </c>
      <c r="C81" s="10">
        <v>1608.2</v>
      </c>
    </row>
    <row r="82" spans="1:3" x14ac:dyDescent="0.25">
      <c r="A82" s="10" t="s">
        <v>141</v>
      </c>
      <c r="B82" s="10">
        <v>172500</v>
      </c>
      <c r="C82" s="10">
        <v>1608.2</v>
      </c>
    </row>
    <row r="83" spans="1:3" x14ac:dyDescent="0.25">
      <c r="A83" s="10" t="s">
        <v>141</v>
      </c>
      <c r="B83" s="10">
        <v>172750</v>
      </c>
      <c r="C83" s="10">
        <v>1609.5</v>
      </c>
    </row>
    <row r="84" spans="1:3" x14ac:dyDescent="0.25">
      <c r="A84" s="10" t="s">
        <v>141</v>
      </c>
      <c r="B84" s="10">
        <v>173000</v>
      </c>
      <c r="C84" s="10">
        <v>1610.8</v>
      </c>
    </row>
    <row r="85" spans="1:3" x14ac:dyDescent="0.25">
      <c r="A85" s="10" t="s">
        <v>141</v>
      </c>
      <c r="B85" s="10">
        <v>173250</v>
      </c>
      <c r="C85" s="10">
        <v>1610.8</v>
      </c>
    </row>
    <row r="86" spans="1:3" x14ac:dyDescent="0.25">
      <c r="A86" s="10" t="s">
        <v>141</v>
      </c>
      <c r="B86" s="10">
        <v>173500</v>
      </c>
      <c r="C86" s="10">
        <v>1612.1</v>
      </c>
    </row>
    <row r="87" spans="1:3" x14ac:dyDescent="0.25">
      <c r="A87" s="10" t="s">
        <v>141</v>
      </c>
      <c r="B87" s="10">
        <v>173750</v>
      </c>
      <c r="C87" s="10">
        <v>1613.4</v>
      </c>
    </row>
    <row r="88" spans="1:3" x14ac:dyDescent="0.25">
      <c r="A88" s="10" t="s">
        <v>141</v>
      </c>
      <c r="B88" s="10">
        <v>174000</v>
      </c>
      <c r="C88" s="10">
        <v>1613.4</v>
      </c>
    </row>
    <row r="89" spans="1:3" x14ac:dyDescent="0.25">
      <c r="A89" s="10" t="s">
        <v>141</v>
      </c>
      <c r="B89" s="10">
        <v>174250</v>
      </c>
      <c r="C89" s="10">
        <v>1614.7</v>
      </c>
    </row>
    <row r="90" spans="1:3" x14ac:dyDescent="0.25">
      <c r="A90" s="10" t="s">
        <v>141</v>
      </c>
      <c r="B90" s="10">
        <v>174500</v>
      </c>
      <c r="C90" s="10">
        <v>1616</v>
      </c>
    </row>
    <row r="91" spans="1:3" x14ac:dyDescent="0.25">
      <c r="A91" s="10" t="s">
        <v>141</v>
      </c>
      <c r="B91" s="10">
        <v>174750</v>
      </c>
      <c r="C91" s="10">
        <v>1616</v>
      </c>
    </row>
    <row r="92" spans="1:3" x14ac:dyDescent="0.25">
      <c r="A92" s="10" t="s">
        <v>141</v>
      </c>
      <c r="B92" s="10">
        <v>175000</v>
      </c>
      <c r="C92" s="10">
        <v>1617.3</v>
      </c>
    </row>
    <row r="93" spans="1:3" x14ac:dyDescent="0.25">
      <c r="A93" s="10" t="s">
        <v>141</v>
      </c>
      <c r="B93" s="10">
        <v>175250</v>
      </c>
      <c r="C93" s="10">
        <v>1618.6</v>
      </c>
    </row>
    <row r="94" spans="1:3" x14ac:dyDescent="0.25">
      <c r="A94" s="10" t="s">
        <v>141</v>
      </c>
      <c r="B94" s="10">
        <v>175500</v>
      </c>
      <c r="C94" s="10">
        <v>1618.6</v>
      </c>
    </row>
    <row r="95" spans="1:3" x14ac:dyDescent="0.25">
      <c r="A95" s="10" t="s">
        <v>141</v>
      </c>
      <c r="B95" s="10">
        <v>175750</v>
      </c>
      <c r="C95" s="10">
        <v>1619.9</v>
      </c>
    </row>
    <row r="96" spans="1:3" x14ac:dyDescent="0.25">
      <c r="A96" s="10" t="s">
        <v>141</v>
      </c>
      <c r="B96" s="10">
        <v>176000</v>
      </c>
      <c r="C96" s="10">
        <v>1621.2</v>
      </c>
    </row>
    <row r="97" spans="1:3" x14ac:dyDescent="0.25">
      <c r="A97" s="10" t="s">
        <v>141</v>
      </c>
      <c r="B97" s="10">
        <v>176250</v>
      </c>
      <c r="C97" s="10">
        <v>1621.2</v>
      </c>
    </row>
    <row r="98" spans="1:3" x14ac:dyDescent="0.25">
      <c r="A98" s="10" t="s">
        <v>141</v>
      </c>
      <c r="B98" s="10">
        <v>176500</v>
      </c>
      <c r="C98" s="10">
        <v>1622.5</v>
      </c>
    </row>
    <row r="99" spans="1:3" x14ac:dyDescent="0.25">
      <c r="A99" s="10" t="s">
        <v>141</v>
      </c>
      <c r="B99" s="10">
        <v>176750</v>
      </c>
      <c r="C99" s="10">
        <v>1623.7</v>
      </c>
    </row>
    <row r="100" spans="1:3" x14ac:dyDescent="0.25">
      <c r="A100" s="10" t="s">
        <v>141</v>
      </c>
      <c r="B100" s="10">
        <v>177000</v>
      </c>
      <c r="C100" s="10">
        <v>1623.7</v>
      </c>
    </row>
    <row r="101" spans="1:3" x14ac:dyDescent="0.25">
      <c r="A101" s="10" t="s">
        <v>141</v>
      </c>
      <c r="B101" s="10">
        <v>177250</v>
      </c>
      <c r="C101" s="10">
        <v>1625</v>
      </c>
    </row>
    <row r="102" spans="1:3" x14ac:dyDescent="0.25">
      <c r="A102" s="10" t="s">
        <v>141</v>
      </c>
      <c r="B102" s="10">
        <v>177500</v>
      </c>
      <c r="C102" s="10">
        <v>1626.3</v>
      </c>
    </row>
    <row r="103" spans="1:3" x14ac:dyDescent="0.25">
      <c r="A103" s="10" t="s">
        <v>141</v>
      </c>
      <c r="B103" s="10">
        <v>177750</v>
      </c>
      <c r="C103" s="10">
        <v>1627.6</v>
      </c>
    </row>
    <row r="104" spans="1:3" x14ac:dyDescent="0.25">
      <c r="A104" s="10" t="s">
        <v>141</v>
      </c>
      <c r="B104" s="10">
        <v>178000</v>
      </c>
      <c r="C104" s="10">
        <v>1627.6</v>
      </c>
    </row>
    <row r="105" spans="1:3" x14ac:dyDescent="0.25">
      <c r="A105" s="10" t="s">
        <v>141</v>
      </c>
      <c r="B105" s="10">
        <v>178250</v>
      </c>
      <c r="C105" s="10">
        <v>1628.9</v>
      </c>
    </row>
    <row r="106" spans="1:3" x14ac:dyDescent="0.25">
      <c r="A106" s="10" t="s">
        <v>141</v>
      </c>
      <c r="B106" s="10">
        <v>178500</v>
      </c>
      <c r="C106" s="10">
        <v>1630.2</v>
      </c>
    </row>
    <row r="107" spans="1:3" x14ac:dyDescent="0.25">
      <c r="A107" s="10" t="s">
        <v>141</v>
      </c>
      <c r="B107" s="10">
        <v>178750</v>
      </c>
      <c r="C107" s="10">
        <v>1631.5</v>
      </c>
    </row>
    <row r="108" spans="1:3" x14ac:dyDescent="0.25">
      <c r="A108" s="10" t="s">
        <v>141</v>
      </c>
      <c r="B108" s="10">
        <v>179000</v>
      </c>
      <c r="C108" s="10">
        <v>1631.5</v>
      </c>
    </row>
    <row r="109" spans="1:3" x14ac:dyDescent="0.25">
      <c r="A109" s="10" t="s">
        <v>141</v>
      </c>
      <c r="B109" s="10">
        <v>179250</v>
      </c>
      <c r="C109" s="10">
        <v>1632.8</v>
      </c>
    </row>
    <row r="110" spans="1:3" x14ac:dyDescent="0.25">
      <c r="A110" s="10" t="s">
        <v>141</v>
      </c>
      <c r="B110" s="10">
        <v>179500</v>
      </c>
      <c r="C110" s="10">
        <v>1634.1</v>
      </c>
    </row>
    <row r="111" spans="1:3" x14ac:dyDescent="0.25">
      <c r="A111" s="10" t="s">
        <v>141</v>
      </c>
      <c r="B111" s="10">
        <v>179750</v>
      </c>
      <c r="C111" s="10">
        <v>1634.1</v>
      </c>
    </row>
    <row r="112" spans="1:3" x14ac:dyDescent="0.25">
      <c r="A112" s="10" t="s">
        <v>141</v>
      </c>
      <c r="B112" s="10">
        <v>180000</v>
      </c>
      <c r="C112" s="10">
        <v>1635.4</v>
      </c>
    </row>
    <row r="113" spans="1:3" x14ac:dyDescent="0.25">
      <c r="A113" s="10" t="s">
        <v>141</v>
      </c>
      <c r="B113" s="10">
        <v>180250</v>
      </c>
      <c r="C113" s="10">
        <v>1636.7</v>
      </c>
    </row>
    <row r="114" spans="1:3" x14ac:dyDescent="0.25">
      <c r="A114" s="10" t="s">
        <v>141</v>
      </c>
      <c r="B114" s="10">
        <v>180500</v>
      </c>
      <c r="C114" s="10">
        <v>1636.7</v>
      </c>
    </row>
    <row r="115" spans="1:3" x14ac:dyDescent="0.25">
      <c r="A115" s="10" t="s">
        <v>141</v>
      </c>
      <c r="B115" s="10">
        <v>180750</v>
      </c>
      <c r="C115" s="10">
        <v>1638</v>
      </c>
    </row>
    <row r="116" spans="1:3" x14ac:dyDescent="0.25">
      <c r="A116" s="10" t="s">
        <v>141</v>
      </c>
      <c r="B116" s="10">
        <v>181000</v>
      </c>
      <c r="C116" s="10">
        <v>1639.3</v>
      </c>
    </row>
    <row r="117" spans="1:3" x14ac:dyDescent="0.25">
      <c r="A117" s="10" t="s">
        <v>141</v>
      </c>
      <c r="B117" s="10">
        <v>181250</v>
      </c>
      <c r="C117" s="10">
        <v>1639.3</v>
      </c>
    </row>
    <row r="118" spans="1:3" x14ac:dyDescent="0.25">
      <c r="A118" s="10" t="s">
        <v>141</v>
      </c>
      <c r="B118" s="10">
        <v>181500</v>
      </c>
      <c r="C118" s="10">
        <v>1640.5</v>
      </c>
    </row>
    <row r="119" spans="1:3" x14ac:dyDescent="0.25">
      <c r="A119" s="10" t="s">
        <v>141</v>
      </c>
      <c r="B119" s="10">
        <v>181750</v>
      </c>
      <c r="C119" s="10">
        <v>1641.8</v>
      </c>
    </row>
    <row r="120" spans="1:3" x14ac:dyDescent="0.25">
      <c r="A120" s="10" t="s">
        <v>141</v>
      </c>
      <c r="B120" s="10">
        <v>182000</v>
      </c>
      <c r="C120" s="10">
        <v>1643.1</v>
      </c>
    </row>
    <row r="121" spans="1:3" x14ac:dyDescent="0.25">
      <c r="A121" s="10" t="s">
        <v>141</v>
      </c>
      <c r="B121" s="10">
        <v>182250</v>
      </c>
      <c r="C121" s="10">
        <v>1644.4</v>
      </c>
    </row>
    <row r="122" spans="1:3" x14ac:dyDescent="0.25">
      <c r="A122" s="10" t="s">
        <v>141</v>
      </c>
      <c r="B122" s="10">
        <v>182500</v>
      </c>
      <c r="C122" s="10">
        <v>1644.4</v>
      </c>
    </row>
    <row r="123" spans="1:3" x14ac:dyDescent="0.25">
      <c r="A123" s="10" t="s">
        <v>141</v>
      </c>
      <c r="B123" s="10">
        <v>182750</v>
      </c>
      <c r="C123" s="10">
        <v>1645.7</v>
      </c>
    </row>
    <row r="124" spans="1:3" x14ac:dyDescent="0.25">
      <c r="A124" s="10" t="s">
        <v>141</v>
      </c>
      <c r="B124" s="10">
        <v>183000</v>
      </c>
      <c r="C124" s="10">
        <v>1647</v>
      </c>
    </row>
    <row r="125" spans="1:3" x14ac:dyDescent="0.25">
      <c r="A125" s="10" t="s">
        <v>141</v>
      </c>
      <c r="B125" s="10">
        <v>183250</v>
      </c>
      <c r="C125" s="10">
        <v>1648.3</v>
      </c>
    </row>
    <row r="126" spans="1:3" x14ac:dyDescent="0.25">
      <c r="A126" s="10" t="s">
        <v>141</v>
      </c>
      <c r="B126" s="10">
        <v>183500</v>
      </c>
      <c r="C126" s="10">
        <v>1649.6</v>
      </c>
    </row>
    <row r="127" spans="1:3" x14ac:dyDescent="0.25">
      <c r="A127" s="10" t="s">
        <v>141</v>
      </c>
      <c r="B127" s="10">
        <v>183750</v>
      </c>
      <c r="C127" s="10">
        <v>1649.6</v>
      </c>
    </row>
    <row r="128" spans="1:3" x14ac:dyDescent="0.25">
      <c r="A128" s="10" t="s">
        <v>141</v>
      </c>
      <c r="B128" s="10">
        <v>184000</v>
      </c>
      <c r="C128" s="10">
        <v>1650.9</v>
      </c>
    </row>
    <row r="129" spans="1:3" x14ac:dyDescent="0.25">
      <c r="A129" s="10" t="s">
        <v>141</v>
      </c>
      <c r="B129" s="10">
        <v>184250</v>
      </c>
      <c r="C129" s="10">
        <v>1652.2</v>
      </c>
    </row>
    <row r="130" spans="1:3" x14ac:dyDescent="0.25">
      <c r="A130" s="10" t="s">
        <v>141</v>
      </c>
      <c r="B130" s="10">
        <v>184500</v>
      </c>
      <c r="C130" s="10">
        <v>1652.2</v>
      </c>
    </row>
    <row r="131" spans="1:3" x14ac:dyDescent="0.25">
      <c r="A131" s="10" t="s">
        <v>141</v>
      </c>
      <c r="B131" s="10">
        <v>184750</v>
      </c>
      <c r="C131" s="10">
        <v>1653.5</v>
      </c>
    </row>
    <row r="132" spans="1:3" x14ac:dyDescent="0.25">
      <c r="A132" s="10" t="s">
        <v>141</v>
      </c>
      <c r="B132" s="10">
        <v>185000</v>
      </c>
      <c r="C132" s="10">
        <v>1654.8</v>
      </c>
    </row>
    <row r="133" spans="1:3" x14ac:dyDescent="0.25">
      <c r="A133" s="10" t="s">
        <v>141</v>
      </c>
      <c r="B133" s="10">
        <v>185250</v>
      </c>
      <c r="C133" s="10">
        <v>1656.1</v>
      </c>
    </row>
    <row r="134" spans="1:3" x14ac:dyDescent="0.25">
      <c r="A134" s="10" t="s">
        <v>141</v>
      </c>
      <c r="B134" s="10">
        <v>185500</v>
      </c>
      <c r="C134" s="10">
        <v>1657.3</v>
      </c>
    </row>
    <row r="135" spans="1:3" x14ac:dyDescent="0.25">
      <c r="A135" s="10" t="s">
        <v>141</v>
      </c>
      <c r="B135" s="10">
        <v>185750</v>
      </c>
      <c r="C135" s="10">
        <v>1657.3</v>
      </c>
    </row>
    <row r="136" spans="1:3" x14ac:dyDescent="0.25">
      <c r="A136" s="10" t="s">
        <v>141</v>
      </c>
      <c r="B136" s="10">
        <v>186000</v>
      </c>
      <c r="C136" s="10">
        <v>1658.6</v>
      </c>
    </row>
    <row r="137" spans="1:3" x14ac:dyDescent="0.25">
      <c r="A137" s="10" t="s">
        <v>141</v>
      </c>
      <c r="B137" s="10">
        <v>186250</v>
      </c>
      <c r="C137" s="10">
        <v>1659.9</v>
      </c>
    </row>
    <row r="138" spans="1:3" x14ac:dyDescent="0.25">
      <c r="A138" s="10" t="s">
        <v>141</v>
      </c>
      <c r="B138" s="10">
        <v>186500</v>
      </c>
      <c r="C138" s="10">
        <v>1661.2</v>
      </c>
    </row>
    <row r="139" spans="1:3" x14ac:dyDescent="0.25">
      <c r="A139" s="10" t="s">
        <v>141</v>
      </c>
      <c r="B139" s="10">
        <v>186750</v>
      </c>
      <c r="C139" s="10">
        <v>1662.5</v>
      </c>
    </row>
    <row r="140" spans="1:3" x14ac:dyDescent="0.25">
      <c r="A140" s="10" t="s">
        <v>141</v>
      </c>
      <c r="B140" s="10">
        <v>187000</v>
      </c>
      <c r="C140" s="10">
        <v>1662.5</v>
      </c>
    </row>
    <row r="141" spans="1:3" x14ac:dyDescent="0.25">
      <c r="A141" s="10" t="s">
        <v>141</v>
      </c>
      <c r="B141" s="10">
        <v>187250</v>
      </c>
      <c r="C141" s="10">
        <v>1663.8</v>
      </c>
    </row>
    <row r="142" spans="1:3" x14ac:dyDescent="0.25">
      <c r="A142" s="10" t="s">
        <v>141</v>
      </c>
      <c r="B142" s="10">
        <v>187500</v>
      </c>
      <c r="C142" s="10">
        <v>1665.1</v>
      </c>
    </row>
    <row r="143" spans="1:3" x14ac:dyDescent="0.25">
      <c r="A143" s="10" t="s">
        <v>141</v>
      </c>
      <c r="B143" s="10">
        <v>187750</v>
      </c>
      <c r="C143" s="10">
        <v>1666.4</v>
      </c>
    </row>
    <row r="144" spans="1:3" x14ac:dyDescent="0.25">
      <c r="A144" s="10" t="s">
        <v>141</v>
      </c>
      <c r="B144" s="10">
        <v>188000</v>
      </c>
      <c r="C144" s="10">
        <v>1667.7</v>
      </c>
    </row>
    <row r="145" spans="1:3" x14ac:dyDescent="0.25">
      <c r="A145" s="10" t="s">
        <v>141</v>
      </c>
      <c r="B145" s="10">
        <v>188250</v>
      </c>
      <c r="C145" s="10">
        <v>1667.7</v>
      </c>
    </row>
    <row r="146" spans="1:3" x14ac:dyDescent="0.25">
      <c r="A146" s="10" t="s">
        <v>141</v>
      </c>
      <c r="B146" s="10">
        <v>188500</v>
      </c>
      <c r="C146" s="10">
        <v>1669</v>
      </c>
    </row>
    <row r="147" spans="1:3" x14ac:dyDescent="0.25">
      <c r="A147" s="10" t="s">
        <v>141</v>
      </c>
      <c r="B147" s="10">
        <v>188750</v>
      </c>
      <c r="C147" s="10">
        <v>1670.3</v>
      </c>
    </row>
    <row r="148" spans="1:3" x14ac:dyDescent="0.25">
      <c r="A148" s="10" t="s">
        <v>141</v>
      </c>
      <c r="B148" s="10">
        <v>189000</v>
      </c>
      <c r="C148" s="10">
        <v>1671.6</v>
      </c>
    </row>
    <row r="149" spans="1:3" x14ac:dyDescent="0.25">
      <c r="A149" s="10" t="s">
        <v>141</v>
      </c>
      <c r="B149" s="10">
        <v>189250</v>
      </c>
      <c r="C149" s="10">
        <v>1672.9</v>
      </c>
    </row>
    <row r="150" spans="1:3" x14ac:dyDescent="0.25">
      <c r="A150" s="10" t="s">
        <v>141</v>
      </c>
      <c r="B150" s="10">
        <v>189500</v>
      </c>
      <c r="C150" s="10">
        <v>1672.9</v>
      </c>
    </row>
    <row r="151" spans="1:3" x14ac:dyDescent="0.25">
      <c r="A151" s="10" t="s">
        <v>141</v>
      </c>
      <c r="B151" s="10">
        <v>189750</v>
      </c>
      <c r="C151" s="10">
        <v>1674.1</v>
      </c>
    </row>
    <row r="152" spans="1:3" x14ac:dyDescent="0.25">
      <c r="A152" s="10" t="s">
        <v>141</v>
      </c>
      <c r="B152" s="10">
        <v>190000</v>
      </c>
      <c r="C152" s="10">
        <v>1676.7</v>
      </c>
    </row>
    <row r="153" spans="1:3" x14ac:dyDescent="0.25">
      <c r="A153" s="10" t="s">
        <v>141</v>
      </c>
      <c r="B153" s="10">
        <v>190250</v>
      </c>
      <c r="C153" s="10">
        <v>1676.7</v>
      </c>
    </row>
    <row r="154" spans="1:3" x14ac:dyDescent="0.25">
      <c r="A154" s="10" t="s">
        <v>141</v>
      </c>
      <c r="B154" s="10">
        <v>190500</v>
      </c>
      <c r="C154" s="10">
        <v>1678</v>
      </c>
    </row>
    <row r="155" spans="1:3" x14ac:dyDescent="0.25">
      <c r="A155" s="10" t="s">
        <v>141</v>
      </c>
      <c r="B155" s="10">
        <v>190750</v>
      </c>
      <c r="C155" s="10">
        <v>1679.3</v>
      </c>
    </row>
    <row r="156" spans="1:3" x14ac:dyDescent="0.25">
      <c r="A156" s="10" t="s">
        <v>141</v>
      </c>
      <c r="B156" s="10">
        <v>191000</v>
      </c>
      <c r="C156" s="10">
        <v>1680.6</v>
      </c>
    </row>
    <row r="157" spans="1:3" x14ac:dyDescent="0.25">
      <c r="A157" s="10" t="s">
        <v>141</v>
      </c>
      <c r="B157" s="10">
        <v>191250</v>
      </c>
      <c r="C157" s="10">
        <v>1681.9</v>
      </c>
    </row>
    <row r="158" spans="1:3" x14ac:dyDescent="0.25">
      <c r="A158" s="10" t="s">
        <v>141</v>
      </c>
      <c r="B158" s="10">
        <v>191500</v>
      </c>
      <c r="C158" s="10">
        <v>1681.9</v>
      </c>
    </row>
    <row r="159" spans="1:3" x14ac:dyDescent="0.25">
      <c r="A159" s="10" t="s">
        <v>141</v>
      </c>
      <c r="B159" s="10">
        <v>191750</v>
      </c>
      <c r="C159" s="10">
        <v>1684.5</v>
      </c>
    </row>
    <row r="160" spans="1:3" x14ac:dyDescent="0.25">
      <c r="A160" s="10" t="s">
        <v>141</v>
      </c>
      <c r="B160" s="10">
        <v>192000</v>
      </c>
      <c r="C160" s="10">
        <v>1684.5</v>
      </c>
    </row>
    <row r="161" spans="1:3" x14ac:dyDescent="0.25">
      <c r="A161" s="10" t="s">
        <v>141</v>
      </c>
      <c r="B161" s="10">
        <v>192250</v>
      </c>
      <c r="C161" s="10">
        <v>1685.8</v>
      </c>
    </row>
    <row r="162" spans="1:3" x14ac:dyDescent="0.25">
      <c r="A162" s="10" t="s">
        <v>141</v>
      </c>
      <c r="B162" s="10">
        <v>192500</v>
      </c>
      <c r="C162" s="10">
        <v>1687.1</v>
      </c>
    </row>
    <row r="163" spans="1:3" x14ac:dyDescent="0.25">
      <c r="A163" s="10" t="s">
        <v>141</v>
      </c>
      <c r="B163" s="10">
        <v>192750</v>
      </c>
      <c r="C163" s="10">
        <v>1687.1</v>
      </c>
    </row>
    <row r="164" spans="1:3" x14ac:dyDescent="0.25">
      <c r="A164" s="10" t="s">
        <v>141</v>
      </c>
      <c r="B164" s="10">
        <v>193000</v>
      </c>
      <c r="C164" s="10">
        <v>1689.7</v>
      </c>
    </row>
    <row r="165" spans="1:3" x14ac:dyDescent="0.25">
      <c r="A165" s="10" t="s">
        <v>141</v>
      </c>
      <c r="B165" s="10">
        <v>193250</v>
      </c>
      <c r="C165" s="10">
        <v>1689.7</v>
      </c>
    </row>
    <row r="166" spans="1:3" x14ac:dyDescent="0.25">
      <c r="A166" s="10" t="s">
        <v>141</v>
      </c>
      <c r="B166" s="10">
        <v>193500</v>
      </c>
      <c r="C166" s="10">
        <v>1690.9</v>
      </c>
    </row>
    <row r="167" spans="1:3" x14ac:dyDescent="0.25">
      <c r="A167" s="10" t="s">
        <v>141</v>
      </c>
      <c r="B167" s="10">
        <v>193750</v>
      </c>
      <c r="C167" s="10">
        <v>1690.9</v>
      </c>
    </row>
    <row r="168" spans="1:3" x14ac:dyDescent="0.25">
      <c r="A168" s="10" t="s">
        <v>141</v>
      </c>
      <c r="B168" s="10">
        <v>194000</v>
      </c>
      <c r="C168" s="10">
        <v>1692.2</v>
      </c>
    </row>
    <row r="169" spans="1:3" x14ac:dyDescent="0.25">
      <c r="A169" s="10" t="s">
        <v>141</v>
      </c>
      <c r="B169" s="10">
        <v>194250</v>
      </c>
      <c r="C169" s="10">
        <v>1693.5</v>
      </c>
    </row>
    <row r="170" spans="1:3" x14ac:dyDescent="0.25">
      <c r="A170" s="10" t="s">
        <v>141</v>
      </c>
      <c r="B170" s="10">
        <v>194500</v>
      </c>
      <c r="C170" s="10">
        <v>1694.8</v>
      </c>
    </row>
    <row r="171" spans="1:3" x14ac:dyDescent="0.25">
      <c r="A171" s="10" t="s">
        <v>141</v>
      </c>
      <c r="B171" s="10">
        <v>194750</v>
      </c>
      <c r="C171" s="10">
        <v>1696.1</v>
      </c>
    </row>
    <row r="172" spans="1:3" x14ac:dyDescent="0.25">
      <c r="A172" s="10" t="s">
        <v>141</v>
      </c>
      <c r="B172" s="10">
        <v>195000</v>
      </c>
      <c r="C172" s="10">
        <v>1696.1</v>
      </c>
    </row>
    <row r="173" spans="1:3" x14ac:dyDescent="0.25">
      <c r="A173" s="10" t="s">
        <v>141</v>
      </c>
      <c r="B173" s="10">
        <v>195250</v>
      </c>
      <c r="C173" s="10">
        <v>1697.4</v>
      </c>
    </row>
    <row r="174" spans="1:3" x14ac:dyDescent="0.25">
      <c r="A174" s="10" t="s">
        <v>141</v>
      </c>
      <c r="B174" s="10">
        <v>195500</v>
      </c>
      <c r="C174" s="10">
        <v>1698.7</v>
      </c>
    </row>
    <row r="175" spans="1:3" x14ac:dyDescent="0.25">
      <c r="A175" s="10" t="s">
        <v>141</v>
      </c>
      <c r="B175" s="10">
        <v>195750</v>
      </c>
      <c r="C175" s="10">
        <v>1698.7</v>
      </c>
    </row>
    <row r="176" spans="1:3" x14ac:dyDescent="0.25">
      <c r="A176" s="10" t="s">
        <v>141</v>
      </c>
      <c r="B176" s="10">
        <v>196000</v>
      </c>
      <c r="C176" s="10">
        <v>1700</v>
      </c>
    </row>
    <row r="177" spans="1:3" x14ac:dyDescent="0.25">
      <c r="A177" s="10" t="s">
        <v>141</v>
      </c>
      <c r="B177" s="10">
        <v>196250</v>
      </c>
      <c r="C177" s="10">
        <v>1701.3</v>
      </c>
    </row>
    <row r="178" spans="1:3" x14ac:dyDescent="0.25">
      <c r="A178" s="10" t="s">
        <v>141</v>
      </c>
      <c r="B178" s="10">
        <v>196500</v>
      </c>
      <c r="C178" s="10">
        <v>1702.6</v>
      </c>
    </row>
    <row r="179" spans="1:3" x14ac:dyDescent="0.25">
      <c r="A179" s="10" t="s">
        <v>141</v>
      </c>
      <c r="B179" s="10">
        <v>196750</v>
      </c>
      <c r="C179" s="10">
        <v>1703.9</v>
      </c>
    </row>
    <row r="180" spans="1:3" x14ac:dyDescent="0.25">
      <c r="A180" s="10" t="s">
        <v>141</v>
      </c>
      <c r="B180" s="10">
        <v>197000</v>
      </c>
      <c r="C180" s="10">
        <v>1703.9</v>
      </c>
    </row>
    <row r="181" spans="1:3" x14ac:dyDescent="0.25">
      <c r="A181" s="10" t="s">
        <v>141</v>
      </c>
      <c r="B181" s="10">
        <v>197250</v>
      </c>
      <c r="C181" s="10">
        <v>1705.2</v>
      </c>
    </row>
    <row r="182" spans="1:3" x14ac:dyDescent="0.25">
      <c r="A182" s="10" t="s">
        <v>141</v>
      </c>
      <c r="B182" s="10">
        <v>197500</v>
      </c>
      <c r="C182" s="10">
        <v>1706.5</v>
      </c>
    </row>
    <row r="183" spans="1:3" x14ac:dyDescent="0.25">
      <c r="A183" s="10" t="s">
        <v>141</v>
      </c>
      <c r="B183" s="10">
        <v>197750</v>
      </c>
      <c r="C183" s="10">
        <v>1707.7</v>
      </c>
    </row>
    <row r="184" spans="1:3" x14ac:dyDescent="0.25">
      <c r="A184" s="10" t="s">
        <v>141</v>
      </c>
      <c r="B184" s="10">
        <v>198000</v>
      </c>
      <c r="C184" s="10">
        <v>1709</v>
      </c>
    </row>
    <row r="185" spans="1:3" x14ac:dyDescent="0.25">
      <c r="A185" s="10" t="s">
        <v>141</v>
      </c>
      <c r="B185" s="10">
        <v>198250</v>
      </c>
      <c r="C185" s="10">
        <v>1709</v>
      </c>
    </row>
    <row r="186" spans="1:3" x14ac:dyDescent="0.25">
      <c r="A186" s="10" t="s">
        <v>141</v>
      </c>
      <c r="B186" s="10">
        <v>198500</v>
      </c>
      <c r="C186" s="10">
        <v>1710.3</v>
      </c>
    </row>
    <row r="187" spans="1:3" x14ac:dyDescent="0.25">
      <c r="A187" s="10" t="s">
        <v>141</v>
      </c>
      <c r="B187" s="10">
        <v>198750</v>
      </c>
      <c r="C187" s="10">
        <v>1711.6</v>
      </c>
    </row>
    <row r="188" spans="1:3" x14ac:dyDescent="0.25">
      <c r="A188" s="10" t="s">
        <v>141</v>
      </c>
      <c r="B188" s="10">
        <v>199000</v>
      </c>
      <c r="C188" s="10">
        <v>1712.9</v>
      </c>
    </row>
    <row r="189" spans="1:3" x14ac:dyDescent="0.25">
      <c r="A189" s="10" t="s">
        <v>141</v>
      </c>
      <c r="B189" s="10">
        <v>199250</v>
      </c>
      <c r="C189" s="10">
        <v>1714.2</v>
      </c>
    </row>
    <row r="190" spans="1:3" x14ac:dyDescent="0.25">
      <c r="A190" s="10" t="s">
        <v>141</v>
      </c>
      <c r="B190" s="10">
        <v>199500</v>
      </c>
      <c r="C190" s="10">
        <v>1715.5</v>
      </c>
    </row>
    <row r="191" spans="1:3" x14ac:dyDescent="0.25">
      <c r="A191" s="10" t="s">
        <v>141</v>
      </c>
      <c r="B191" s="10">
        <v>199750</v>
      </c>
      <c r="C191" s="10">
        <v>1716.8</v>
      </c>
    </row>
    <row r="192" spans="1:3" x14ac:dyDescent="0.25">
      <c r="A192" s="10" t="s">
        <v>141</v>
      </c>
      <c r="B192" s="10">
        <v>200000</v>
      </c>
      <c r="C192" s="10">
        <v>1718.1</v>
      </c>
    </row>
    <row r="193" spans="1:3" x14ac:dyDescent="0.25">
      <c r="A193" s="10" t="s">
        <v>141</v>
      </c>
      <c r="B193" s="10">
        <v>200250</v>
      </c>
      <c r="C193" s="10">
        <v>1719.4</v>
      </c>
    </row>
    <row r="194" spans="1:3" x14ac:dyDescent="0.25">
      <c r="A194" s="10" t="s">
        <v>141</v>
      </c>
      <c r="B194" s="10">
        <v>200500</v>
      </c>
      <c r="C194" s="10">
        <v>1720.7</v>
      </c>
    </row>
    <row r="195" spans="1:3" x14ac:dyDescent="0.25">
      <c r="A195" s="10" t="s">
        <v>141</v>
      </c>
      <c r="B195" s="10">
        <v>200750</v>
      </c>
      <c r="C195" s="10">
        <v>1722</v>
      </c>
    </row>
    <row r="196" spans="1:3" x14ac:dyDescent="0.25">
      <c r="A196" s="10" t="s">
        <v>141</v>
      </c>
      <c r="B196" s="10">
        <v>201000</v>
      </c>
      <c r="C196" s="10">
        <v>1723.3</v>
      </c>
    </row>
    <row r="197" spans="1:3" x14ac:dyDescent="0.25">
      <c r="A197" s="10" t="s">
        <v>141</v>
      </c>
      <c r="B197" s="10">
        <v>201250</v>
      </c>
      <c r="C197" s="10">
        <v>1724.5</v>
      </c>
    </row>
    <row r="198" spans="1:3" x14ac:dyDescent="0.25">
      <c r="A198" s="10" t="s">
        <v>141</v>
      </c>
      <c r="B198" s="10">
        <v>201500</v>
      </c>
      <c r="C198" s="10">
        <v>1725.8</v>
      </c>
    </row>
    <row r="199" spans="1:3" x14ac:dyDescent="0.25">
      <c r="A199" s="10" t="s">
        <v>141</v>
      </c>
      <c r="B199" s="10">
        <v>201750</v>
      </c>
      <c r="C199" s="10">
        <v>1725.8</v>
      </c>
    </row>
    <row r="200" spans="1:3" x14ac:dyDescent="0.25">
      <c r="A200" s="10" t="s">
        <v>141</v>
      </c>
      <c r="B200" s="10">
        <v>202000</v>
      </c>
      <c r="C200" s="10">
        <v>1728.4</v>
      </c>
    </row>
    <row r="201" spans="1:3" x14ac:dyDescent="0.25">
      <c r="A201" s="10" t="s">
        <v>141</v>
      </c>
      <c r="B201" s="10">
        <v>202250</v>
      </c>
      <c r="C201" s="10">
        <v>1728.4</v>
      </c>
    </row>
    <row r="202" spans="1:3" x14ac:dyDescent="0.25">
      <c r="A202" s="10" t="s">
        <v>141</v>
      </c>
      <c r="B202" s="10">
        <v>202500</v>
      </c>
      <c r="C202" s="10">
        <v>1731</v>
      </c>
    </row>
    <row r="203" spans="1:3" x14ac:dyDescent="0.25">
      <c r="A203" s="10" t="s">
        <v>141</v>
      </c>
      <c r="B203" s="10">
        <v>202750</v>
      </c>
      <c r="C203" s="10">
        <v>1731</v>
      </c>
    </row>
    <row r="204" spans="1:3" x14ac:dyDescent="0.25">
      <c r="A204" s="10" t="s">
        <v>141</v>
      </c>
      <c r="B204" s="10">
        <v>203000</v>
      </c>
      <c r="C204" s="10">
        <v>1733.6</v>
      </c>
    </row>
    <row r="205" spans="1:3" x14ac:dyDescent="0.25">
      <c r="A205" s="10" t="s">
        <v>141</v>
      </c>
      <c r="B205" s="10">
        <v>203250</v>
      </c>
      <c r="C205" s="10">
        <v>1733.6</v>
      </c>
    </row>
    <row r="206" spans="1:3" x14ac:dyDescent="0.25">
      <c r="A206" s="10" t="s">
        <v>141</v>
      </c>
      <c r="B206" s="10">
        <v>203500</v>
      </c>
      <c r="C206" s="10">
        <v>1736.2</v>
      </c>
    </row>
    <row r="207" spans="1:3" x14ac:dyDescent="0.25">
      <c r="A207" s="10" t="s">
        <v>141</v>
      </c>
      <c r="B207" s="10">
        <v>203750</v>
      </c>
      <c r="C207" s="10">
        <v>1736.2</v>
      </c>
    </row>
    <row r="208" spans="1:3" x14ac:dyDescent="0.25">
      <c r="A208" s="10" t="s">
        <v>141</v>
      </c>
      <c r="B208" s="10">
        <v>204000</v>
      </c>
      <c r="C208" s="10">
        <v>1737.5</v>
      </c>
    </row>
    <row r="209" spans="1:3" x14ac:dyDescent="0.25">
      <c r="A209" s="10" t="s">
        <v>141</v>
      </c>
      <c r="B209" s="10">
        <v>204250</v>
      </c>
      <c r="C209" s="10">
        <v>1738.8</v>
      </c>
    </row>
    <row r="210" spans="1:3" x14ac:dyDescent="0.25">
      <c r="A210" s="10" t="s">
        <v>141</v>
      </c>
      <c r="B210" s="10">
        <v>204500</v>
      </c>
      <c r="C210" s="10">
        <v>1740</v>
      </c>
    </row>
    <row r="211" spans="1:3" x14ac:dyDescent="0.25">
      <c r="A211" s="10" t="s">
        <v>141</v>
      </c>
      <c r="B211" s="10">
        <v>204750</v>
      </c>
      <c r="C211" s="10">
        <v>1741.3</v>
      </c>
    </row>
    <row r="212" spans="1:3" x14ac:dyDescent="0.25">
      <c r="A212" s="10" t="s">
        <v>141</v>
      </c>
      <c r="B212" s="10">
        <v>205000</v>
      </c>
      <c r="C212" s="10">
        <v>1742.6</v>
      </c>
    </row>
    <row r="213" spans="1:3" x14ac:dyDescent="0.25">
      <c r="A213" s="10" t="s">
        <v>141</v>
      </c>
      <c r="B213" s="10">
        <v>205250</v>
      </c>
      <c r="C213" s="10">
        <v>1743.9</v>
      </c>
    </row>
    <row r="214" spans="1:3" x14ac:dyDescent="0.25">
      <c r="A214" s="10" t="s">
        <v>141</v>
      </c>
      <c r="B214" s="10">
        <v>205500</v>
      </c>
      <c r="C214" s="10">
        <v>1743.9</v>
      </c>
    </row>
    <row r="215" spans="1:3" x14ac:dyDescent="0.25">
      <c r="A215" s="10" t="s">
        <v>141</v>
      </c>
      <c r="B215" s="10">
        <v>205750</v>
      </c>
      <c r="C215" s="10">
        <v>1746.5</v>
      </c>
    </row>
    <row r="216" spans="1:3" x14ac:dyDescent="0.25">
      <c r="A216" s="10" t="s">
        <v>141</v>
      </c>
      <c r="B216" s="10">
        <v>206000</v>
      </c>
      <c r="C216" s="10">
        <v>1746.5</v>
      </c>
    </row>
    <row r="217" spans="1:3" x14ac:dyDescent="0.25">
      <c r="A217" s="10" t="s">
        <v>141</v>
      </c>
      <c r="B217" s="10">
        <v>206250</v>
      </c>
      <c r="C217" s="10">
        <v>1747.8</v>
      </c>
    </row>
    <row r="218" spans="1:3" x14ac:dyDescent="0.25">
      <c r="A218" s="10" t="s">
        <v>141</v>
      </c>
      <c r="B218" s="10">
        <v>206500</v>
      </c>
      <c r="C218" s="10">
        <v>1749.1</v>
      </c>
    </row>
    <row r="219" spans="1:3" x14ac:dyDescent="0.25">
      <c r="A219" s="10" t="s">
        <v>141</v>
      </c>
      <c r="B219" s="10">
        <v>206750</v>
      </c>
      <c r="C219" s="10">
        <v>1750.4</v>
      </c>
    </row>
    <row r="220" spans="1:3" x14ac:dyDescent="0.25">
      <c r="A220" s="10" t="s">
        <v>141</v>
      </c>
      <c r="B220" s="10">
        <v>207000</v>
      </c>
      <c r="C220" s="10">
        <v>1751.7</v>
      </c>
    </row>
    <row r="221" spans="1:3" x14ac:dyDescent="0.25">
      <c r="A221" s="10" t="s">
        <v>141</v>
      </c>
      <c r="B221" s="10">
        <v>207250</v>
      </c>
      <c r="C221" s="10">
        <v>1751.7</v>
      </c>
    </row>
    <row r="222" spans="1:3" x14ac:dyDescent="0.25">
      <c r="A222" s="10" t="s">
        <v>141</v>
      </c>
      <c r="B222" s="10">
        <v>207500</v>
      </c>
      <c r="C222" s="10">
        <v>1754.3</v>
      </c>
    </row>
    <row r="223" spans="1:3" x14ac:dyDescent="0.25">
      <c r="A223" s="10" t="s">
        <v>141</v>
      </c>
      <c r="B223" s="10">
        <v>207750</v>
      </c>
      <c r="C223" s="10">
        <v>1754.3</v>
      </c>
    </row>
    <row r="224" spans="1:3" x14ac:dyDescent="0.25">
      <c r="A224" s="10" t="s">
        <v>141</v>
      </c>
      <c r="B224" s="10">
        <v>208000</v>
      </c>
      <c r="C224" s="10">
        <v>1756.8</v>
      </c>
    </row>
    <row r="225" spans="1:3" x14ac:dyDescent="0.25">
      <c r="A225" s="10" t="s">
        <v>141</v>
      </c>
      <c r="B225" s="10">
        <v>208250</v>
      </c>
      <c r="C225" s="10">
        <v>1756.8</v>
      </c>
    </row>
    <row r="226" spans="1:3" x14ac:dyDescent="0.25">
      <c r="A226" s="10" t="s">
        <v>141</v>
      </c>
      <c r="B226" s="10">
        <v>208500</v>
      </c>
      <c r="C226" s="10">
        <v>1758.1</v>
      </c>
    </row>
    <row r="227" spans="1:3" x14ac:dyDescent="0.25">
      <c r="A227" s="10" t="s">
        <v>141</v>
      </c>
      <c r="B227" s="10">
        <v>208750</v>
      </c>
      <c r="C227" s="10">
        <v>1759.4</v>
      </c>
    </row>
    <row r="228" spans="1:3" x14ac:dyDescent="0.25">
      <c r="A228" s="10" t="s">
        <v>141</v>
      </c>
      <c r="B228" s="10">
        <v>209000</v>
      </c>
      <c r="C228" s="10">
        <v>1760.7</v>
      </c>
    </row>
    <row r="229" spans="1:3" x14ac:dyDescent="0.25">
      <c r="A229" s="10" t="s">
        <v>141</v>
      </c>
      <c r="B229" s="10">
        <v>209250</v>
      </c>
      <c r="C229" s="10">
        <v>1762</v>
      </c>
    </row>
    <row r="230" spans="1:3" x14ac:dyDescent="0.25">
      <c r="A230" s="10" t="s">
        <v>141</v>
      </c>
      <c r="B230" s="10">
        <v>209500</v>
      </c>
      <c r="C230" s="10">
        <v>1763.3</v>
      </c>
    </row>
    <row r="231" spans="1:3" x14ac:dyDescent="0.25">
      <c r="A231" s="10" t="s">
        <v>141</v>
      </c>
      <c r="B231" s="10">
        <v>209750</v>
      </c>
      <c r="C231" s="10">
        <v>1764.6</v>
      </c>
    </row>
    <row r="232" spans="1:3" x14ac:dyDescent="0.25">
      <c r="A232" s="10" t="s">
        <v>141</v>
      </c>
      <c r="B232" s="10">
        <v>210000</v>
      </c>
      <c r="C232" s="10">
        <v>1764.6</v>
      </c>
    </row>
    <row r="233" spans="1:3" x14ac:dyDescent="0.25">
      <c r="A233" s="10" t="s">
        <v>141</v>
      </c>
      <c r="B233" s="10">
        <v>210250</v>
      </c>
      <c r="C233" s="10">
        <v>1767.2</v>
      </c>
    </row>
    <row r="234" spans="1:3" x14ac:dyDescent="0.25">
      <c r="A234" s="10" t="s">
        <v>141</v>
      </c>
      <c r="B234" s="10">
        <v>210500</v>
      </c>
      <c r="C234" s="10">
        <v>1768.5</v>
      </c>
    </row>
    <row r="235" spans="1:3" x14ac:dyDescent="0.25">
      <c r="A235" s="10" t="s">
        <v>141</v>
      </c>
      <c r="B235" s="10">
        <v>210750</v>
      </c>
      <c r="C235" s="10">
        <v>1768.5</v>
      </c>
    </row>
    <row r="236" spans="1:3" x14ac:dyDescent="0.25">
      <c r="A236" s="10" t="s">
        <v>141</v>
      </c>
      <c r="B236" s="10">
        <v>211000</v>
      </c>
      <c r="C236" s="10">
        <v>1769.8</v>
      </c>
    </row>
    <row r="237" spans="1:3" x14ac:dyDescent="0.25">
      <c r="A237" s="10" t="s">
        <v>141</v>
      </c>
      <c r="B237" s="10">
        <v>211250</v>
      </c>
      <c r="C237" s="10">
        <v>1771.1</v>
      </c>
    </row>
    <row r="238" spans="1:3" x14ac:dyDescent="0.25">
      <c r="A238" s="10" t="s">
        <v>141</v>
      </c>
      <c r="B238" s="10">
        <v>211500</v>
      </c>
      <c r="C238" s="10">
        <v>1772.4</v>
      </c>
    </row>
    <row r="239" spans="1:3" x14ac:dyDescent="0.25">
      <c r="A239" s="10" t="s">
        <v>141</v>
      </c>
      <c r="B239" s="10">
        <v>211750</v>
      </c>
      <c r="C239" s="10">
        <v>1773.6</v>
      </c>
    </row>
    <row r="240" spans="1:3" x14ac:dyDescent="0.25">
      <c r="A240" s="10" t="s">
        <v>141</v>
      </c>
      <c r="B240" s="10">
        <v>212000</v>
      </c>
      <c r="C240" s="10">
        <v>1774.9</v>
      </c>
    </row>
    <row r="241" spans="1:3" x14ac:dyDescent="0.25">
      <c r="A241" s="10" t="s">
        <v>141</v>
      </c>
      <c r="B241" s="10">
        <v>212250</v>
      </c>
      <c r="C241" s="10">
        <v>1776.2</v>
      </c>
    </row>
    <row r="242" spans="1:3" x14ac:dyDescent="0.25">
      <c r="A242" s="10" t="s">
        <v>141</v>
      </c>
      <c r="B242" s="10">
        <v>212500</v>
      </c>
      <c r="C242" s="10">
        <v>1777.5</v>
      </c>
    </row>
    <row r="243" spans="1:3" x14ac:dyDescent="0.25">
      <c r="A243" s="10" t="s">
        <v>141</v>
      </c>
      <c r="B243" s="10">
        <v>212750</v>
      </c>
      <c r="C243" s="10">
        <v>1778.8</v>
      </c>
    </row>
    <row r="244" spans="1:3" x14ac:dyDescent="0.25">
      <c r="A244" s="10" t="s">
        <v>141</v>
      </c>
      <c r="B244" s="10">
        <v>213000</v>
      </c>
      <c r="C244" s="10">
        <v>1780.1</v>
      </c>
    </row>
    <row r="245" spans="1:3" x14ac:dyDescent="0.25">
      <c r="A245" s="10" t="s">
        <v>141</v>
      </c>
      <c r="B245" s="10">
        <v>213250</v>
      </c>
      <c r="C245" s="10">
        <v>1781.4</v>
      </c>
    </row>
    <row r="246" spans="1:3" x14ac:dyDescent="0.25">
      <c r="A246" s="10" t="s">
        <v>141</v>
      </c>
      <c r="B246" s="10">
        <v>213500</v>
      </c>
      <c r="C246" s="10">
        <v>1782.7</v>
      </c>
    </row>
    <row r="247" spans="1:3" x14ac:dyDescent="0.25">
      <c r="A247" s="10" t="s">
        <v>141</v>
      </c>
      <c r="B247" s="10">
        <v>213750</v>
      </c>
      <c r="C247" s="10">
        <v>1784</v>
      </c>
    </row>
    <row r="248" spans="1:3" x14ac:dyDescent="0.25">
      <c r="A248" s="10" t="s">
        <v>141</v>
      </c>
      <c r="B248" s="10">
        <v>214000</v>
      </c>
      <c r="C248" s="10">
        <v>1785.3</v>
      </c>
    </row>
    <row r="249" spans="1:3" x14ac:dyDescent="0.25">
      <c r="A249" s="10" t="s">
        <v>141</v>
      </c>
      <c r="B249" s="10">
        <v>214250</v>
      </c>
      <c r="C249" s="10">
        <v>1786.6</v>
      </c>
    </row>
    <row r="250" spans="1:3" x14ac:dyDescent="0.25">
      <c r="A250" s="10" t="s">
        <v>141</v>
      </c>
      <c r="B250" s="10">
        <v>214500</v>
      </c>
      <c r="C250" s="10">
        <v>1786.6</v>
      </c>
    </row>
    <row r="251" spans="1:3" x14ac:dyDescent="0.25">
      <c r="A251" s="10" t="s">
        <v>141</v>
      </c>
      <c r="B251" s="10">
        <v>214750</v>
      </c>
      <c r="C251" s="10">
        <v>1787.9</v>
      </c>
    </row>
    <row r="252" spans="1:3" x14ac:dyDescent="0.25">
      <c r="A252" s="10" t="s">
        <v>141</v>
      </c>
      <c r="B252" s="10">
        <v>215000</v>
      </c>
      <c r="C252" s="10">
        <v>1789.2</v>
      </c>
    </row>
    <row r="253" spans="1:3" x14ac:dyDescent="0.25">
      <c r="A253" s="10" t="s">
        <v>141</v>
      </c>
      <c r="B253" s="10">
        <v>215250</v>
      </c>
      <c r="C253" s="10">
        <v>1790.4</v>
      </c>
    </row>
    <row r="254" spans="1:3" x14ac:dyDescent="0.25">
      <c r="A254" s="10" t="s">
        <v>141</v>
      </c>
      <c r="B254" s="10">
        <v>215500</v>
      </c>
      <c r="C254" s="10">
        <v>1791.7</v>
      </c>
    </row>
    <row r="255" spans="1:3" x14ac:dyDescent="0.25">
      <c r="A255" s="10" t="s">
        <v>141</v>
      </c>
      <c r="B255" s="10">
        <v>215750</v>
      </c>
      <c r="C255" s="10">
        <v>1793</v>
      </c>
    </row>
    <row r="256" spans="1:3" x14ac:dyDescent="0.25">
      <c r="A256" s="10" t="s">
        <v>141</v>
      </c>
      <c r="B256" s="10">
        <v>216000</v>
      </c>
      <c r="C256" s="10">
        <v>1794.3</v>
      </c>
    </row>
    <row r="257" spans="1:3" x14ac:dyDescent="0.25">
      <c r="A257" s="10" t="s">
        <v>141</v>
      </c>
      <c r="B257" s="10">
        <v>216250</v>
      </c>
      <c r="C257" s="10">
        <v>1796.9</v>
      </c>
    </row>
    <row r="258" spans="1:3" x14ac:dyDescent="0.25">
      <c r="A258" s="10" t="s">
        <v>141</v>
      </c>
      <c r="B258" s="10">
        <v>216500</v>
      </c>
      <c r="C258" s="10">
        <v>1798.2</v>
      </c>
    </row>
    <row r="259" spans="1:3" x14ac:dyDescent="0.25">
      <c r="A259" s="10" t="s">
        <v>141</v>
      </c>
      <c r="B259" s="10">
        <v>216750</v>
      </c>
      <c r="C259" s="10">
        <v>1799.5</v>
      </c>
    </row>
    <row r="260" spans="1:3" x14ac:dyDescent="0.25">
      <c r="A260" s="10" t="s">
        <v>141</v>
      </c>
      <c r="B260" s="10">
        <v>217000</v>
      </c>
      <c r="C260" s="10">
        <v>1800.8</v>
      </c>
    </row>
    <row r="261" spans="1:3" x14ac:dyDescent="0.25">
      <c r="A261" s="10" t="s">
        <v>141</v>
      </c>
      <c r="B261" s="10">
        <v>217250</v>
      </c>
      <c r="C261" s="10">
        <v>1802.1</v>
      </c>
    </row>
    <row r="262" spans="1:3" x14ac:dyDescent="0.25">
      <c r="A262" s="10" t="s">
        <v>141</v>
      </c>
      <c r="B262" s="10">
        <v>217500</v>
      </c>
      <c r="C262" s="10">
        <v>1804.7</v>
      </c>
    </row>
    <row r="263" spans="1:3" x14ac:dyDescent="0.25">
      <c r="A263" s="10" t="s">
        <v>141</v>
      </c>
      <c r="B263" s="10">
        <v>217750</v>
      </c>
      <c r="C263" s="10">
        <v>1806</v>
      </c>
    </row>
    <row r="264" spans="1:3" x14ac:dyDescent="0.25">
      <c r="A264" s="10" t="s">
        <v>141</v>
      </c>
      <c r="B264" s="10">
        <v>218000</v>
      </c>
      <c r="C264" s="10">
        <v>1807.2</v>
      </c>
    </row>
    <row r="265" spans="1:3" x14ac:dyDescent="0.25">
      <c r="A265" s="10" t="s">
        <v>141</v>
      </c>
      <c r="B265" s="10">
        <v>218250</v>
      </c>
      <c r="C265" s="10">
        <v>1809.8</v>
      </c>
    </row>
    <row r="266" spans="1:3" x14ac:dyDescent="0.25">
      <c r="A266" s="10" t="s">
        <v>141</v>
      </c>
      <c r="B266" s="10">
        <v>218500</v>
      </c>
      <c r="C266" s="10">
        <v>1811.1</v>
      </c>
    </row>
    <row r="267" spans="1:3" x14ac:dyDescent="0.25">
      <c r="A267" s="10" t="s">
        <v>141</v>
      </c>
      <c r="B267" s="10">
        <v>218750</v>
      </c>
      <c r="C267" s="10">
        <v>1812.4</v>
      </c>
    </row>
    <row r="268" spans="1:3" x14ac:dyDescent="0.25">
      <c r="A268" s="10" t="s">
        <v>141</v>
      </c>
      <c r="B268" s="10">
        <v>219000</v>
      </c>
      <c r="C268" s="10">
        <v>1815</v>
      </c>
    </row>
    <row r="269" spans="1:3" x14ac:dyDescent="0.25">
      <c r="A269" s="10" t="s">
        <v>141</v>
      </c>
      <c r="B269" s="10">
        <v>219250</v>
      </c>
      <c r="C269" s="10">
        <v>1816.3</v>
      </c>
    </row>
    <row r="270" spans="1:3" x14ac:dyDescent="0.25">
      <c r="A270" s="10" t="s">
        <v>141</v>
      </c>
      <c r="B270" s="10">
        <v>219500</v>
      </c>
      <c r="C270" s="10">
        <v>1817.6</v>
      </c>
    </row>
    <row r="271" spans="1:3" x14ac:dyDescent="0.25">
      <c r="A271" s="10" t="s">
        <v>141</v>
      </c>
      <c r="B271" s="10">
        <v>219750</v>
      </c>
      <c r="C271" s="10">
        <v>1820.2</v>
      </c>
    </row>
    <row r="272" spans="1:3" x14ac:dyDescent="0.25">
      <c r="A272" s="10" t="s">
        <v>141</v>
      </c>
      <c r="B272" s="10">
        <v>220000</v>
      </c>
      <c r="C272" s="10">
        <v>1821.5</v>
      </c>
    </row>
    <row r="273" spans="1:3" x14ac:dyDescent="0.25">
      <c r="A273" s="10" t="s">
        <v>141</v>
      </c>
      <c r="B273" s="10">
        <v>220250</v>
      </c>
      <c r="C273" s="10">
        <v>1822.8</v>
      </c>
    </row>
    <row r="274" spans="1:3" x14ac:dyDescent="0.25">
      <c r="A274" s="10" t="s">
        <v>141</v>
      </c>
      <c r="B274" s="10">
        <v>220500</v>
      </c>
      <c r="C274" s="10">
        <v>1825.3</v>
      </c>
    </row>
    <row r="275" spans="1:3" x14ac:dyDescent="0.25">
      <c r="A275" s="10" t="s">
        <v>141</v>
      </c>
      <c r="B275" s="10">
        <v>220750</v>
      </c>
      <c r="C275" s="10">
        <v>1826.6</v>
      </c>
    </row>
    <row r="276" spans="1:3" x14ac:dyDescent="0.25">
      <c r="A276" s="10" t="s">
        <v>141</v>
      </c>
      <c r="B276" s="10">
        <v>221000</v>
      </c>
      <c r="C276" s="10">
        <v>1829.2</v>
      </c>
    </row>
    <row r="277" spans="1:3" x14ac:dyDescent="0.25">
      <c r="A277" s="10" t="s">
        <v>141</v>
      </c>
      <c r="B277" s="10">
        <v>221250</v>
      </c>
      <c r="C277" s="10">
        <v>1830.5</v>
      </c>
    </row>
    <row r="278" spans="1:3" x14ac:dyDescent="0.25">
      <c r="A278" s="10" t="s">
        <v>141</v>
      </c>
      <c r="B278" s="10">
        <v>221500</v>
      </c>
      <c r="C278" s="10">
        <v>1831.8</v>
      </c>
    </row>
    <row r="279" spans="1:3" x14ac:dyDescent="0.25">
      <c r="A279" s="10" t="s">
        <v>141</v>
      </c>
      <c r="B279" s="10">
        <v>221750</v>
      </c>
      <c r="C279" s="10">
        <v>1834.4</v>
      </c>
    </row>
    <row r="280" spans="1:3" x14ac:dyDescent="0.25">
      <c r="A280" s="10" t="s">
        <v>141</v>
      </c>
      <c r="B280" s="10">
        <v>222000</v>
      </c>
      <c r="C280" s="10">
        <v>1835.7</v>
      </c>
    </row>
    <row r="281" spans="1:3" x14ac:dyDescent="0.25">
      <c r="A281" s="10" t="s">
        <v>141</v>
      </c>
      <c r="B281" s="10">
        <v>222250</v>
      </c>
      <c r="C281" s="10">
        <v>1837</v>
      </c>
    </row>
    <row r="282" spans="1:3" x14ac:dyDescent="0.25">
      <c r="A282" s="10" t="s">
        <v>141</v>
      </c>
      <c r="B282" s="10">
        <v>222500</v>
      </c>
      <c r="C282" s="10">
        <v>1838.3</v>
      </c>
    </row>
    <row r="283" spans="1:3" x14ac:dyDescent="0.25">
      <c r="A283" s="10" t="s">
        <v>141</v>
      </c>
      <c r="B283" s="10">
        <v>222750</v>
      </c>
      <c r="C283" s="10">
        <v>1840.8</v>
      </c>
    </row>
    <row r="284" spans="1:3" x14ac:dyDescent="0.25">
      <c r="A284" s="10" t="s">
        <v>141</v>
      </c>
      <c r="B284" s="10">
        <v>223000</v>
      </c>
      <c r="C284" s="10">
        <v>1842.1</v>
      </c>
    </row>
    <row r="285" spans="1:3" x14ac:dyDescent="0.25">
      <c r="A285" s="10" t="s">
        <v>141</v>
      </c>
      <c r="B285" s="10">
        <v>223250</v>
      </c>
      <c r="C285" s="10">
        <v>1843.4</v>
      </c>
    </row>
    <row r="286" spans="1:3" x14ac:dyDescent="0.25">
      <c r="A286" s="10" t="s">
        <v>141</v>
      </c>
      <c r="B286" s="10">
        <v>223500</v>
      </c>
      <c r="C286" s="10">
        <v>1846</v>
      </c>
    </row>
    <row r="287" spans="1:3" x14ac:dyDescent="0.25">
      <c r="A287" s="10" t="s">
        <v>141</v>
      </c>
      <c r="B287" s="10">
        <v>223750</v>
      </c>
      <c r="C287" s="10">
        <v>1847.3</v>
      </c>
    </row>
    <row r="288" spans="1:3" x14ac:dyDescent="0.25">
      <c r="A288" s="10" t="s">
        <v>141</v>
      </c>
      <c r="B288" s="10">
        <v>224000</v>
      </c>
      <c r="C288" s="10">
        <v>1848.6</v>
      </c>
    </row>
    <row r="289" spans="1:3" x14ac:dyDescent="0.25">
      <c r="A289" s="10" t="s">
        <v>141</v>
      </c>
      <c r="B289" s="10">
        <v>224250</v>
      </c>
      <c r="C289" s="10">
        <v>1849.9</v>
      </c>
    </row>
    <row r="290" spans="1:3" x14ac:dyDescent="0.25">
      <c r="A290" s="10" t="s">
        <v>141</v>
      </c>
      <c r="B290" s="10">
        <v>224500</v>
      </c>
      <c r="C290" s="10">
        <v>1852.5</v>
      </c>
    </row>
    <row r="291" spans="1:3" x14ac:dyDescent="0.25">
      <c r="A291" s="10" t="s">
        <v>141</v>
      </c>
      <c r="B291" s="10">
        <v>224750</v>
      </c>
      <c r="C291" s="10">
        <v>1853.8</v>
      </c>
    </row>
    <row r="292" spans="1:3" x14ac:dyDescent="0.25">
      <c r="A292" s="10" t="s">
        <v>141</v>
      </c>
      <c r="B292" s="10">
        <v>225000</v>
      </c>
      <c r="C292" s="10">
        <v>1855.1</v>
      </c>
    </row>
    <row r="293" spans="1:3" x14ac:dyDescent="0.25">
      <c r="A293" s="10" t="s">
        <v>141</v>
      </c>
      <c r="B293" s="10">
        <v>225250</v>
      </c>
      <c r="C293" s="10">
        <v>1856.4</v>
      </c>
    </row>
    <row r="294" spans="1:3" x14ac:dyDescent="0.25">
      <c r="A294" s="10" t="s">
        <v>141</v>
      </c>
      <c r="B294" s="10">
        <v>225500</v>
      </c>
      <c r="C294" s="10">
        <v>1858.9</v>
      </c>
    </row>
    <row r="295" spans="1:3" x14ac:dyDescent="0.25">
      <c r="A295" s="10" t="s">
        <v>141</v>
      </c>
      <c r="B295" s="10">
        <v>225750</v>
      </c>
      <c r="C295" s="10">
        <v>1860.2</v>
      </c>
    </row>
    <row r="296" spans="1:3" x14ac:dyDescent="0.25">
      <c r="A296" s="10" t="s">
        <v>141</v>
      </c>
      <c r="B296" s="10">
        <v>226000</v>
      </c>
      <c r="C296" s="10">
        <v>1861.5</v>
      </c>
    </row>
    <row r="297" spans="1:3" x14ac:dyDescent="0.25">
      <c r="A297" s="10" t="s">
        <v>141</v>
      </c>
      <c r="B297" s="10">
        <v>226250</v>
      </c>
      <c r="C297" s="10">
        <v>1862.8</v>
      </c>
    </row>
    <row r="298" spans="1:3" x14ac:dyDescent="0.25">
      <c r="A298" s="10" t="s">
        <v>141</v>
      </c>
      <c r="B298" s="10">
        <v>226500</v>
      </c>
      <c r="C298" s="10">
        <v>1864.1</v>
      </c>
    </row>
    <row r="299" spans="1:3" x14ac:dyDescent="0.25">
      <c r="A299" s="10" t="s">
        <v>141</v>
      </c>
      <c r="B299" s="10">
        <v>226750</v>
      </c>
      <c r="C299" s="10">
        <v>1866.7</v>
      </c>
    </row>
    <row r="300" spans="1:3" x14ac:dyDescent="0.25">
      <c r="A300" s="10" t="s">
        <v>141</v>
      </c>
      <c r="B300" s="10">
        <v>227000</v>
      </c>
      <c r="C300" s="10">
        <v>1868</v>
      </c>
    </row>
    <row r="301" spans="1:3" x14ac:dyDescent="0.25">
      <c r="A301" s="10" t="s">
        <v>141</v>
      </c>
      <c r="B301" s="10">
        <v>227250</v>
      </c>
      <c r="C301" s="10">
        <v>1869.3</v>
      </c>
    </row>
    <row r="302" spans="1:3" x14ac:dyDescent="0.25">
      <c r="A302" s="10" t="s">
        <v>141</v>
      </c>
      <c r="B302" s="10">
        <v>227500</v>
      </c>
      <c r="C302" s="10">
        <v>1870.6</v>
      </c>
    </row>
    <row r="303" spans="1:3" x14ac:dyDescent="0.25">
      <c r="A303" s="10" t="s">
        <v>141</v>
      </c>
      <c r="B303" s="10">
        <v>227750</v>
      </c>
      <c r="C303" s="10">
        <v>1871.9</v>
      </c>
    </row>
    <row r="304" spans="1:3" x14ac:dyDescent="0.25">
      <c r="A304" s="10" t="s">
        <v>141</v>
      </c>
      <c r="B304" s="10">
        <v>228000</v>
      </c>
      <c r="C304" s="10">
        <v>1873.2</v>
      </c>
    </row>
    <row r="305" spans="1:3" x14ac:dyDescent="0.25">
      <c r="A305" s="10" t="s">
        <v>141</v>
      </c>
      <c r="B305" s="10">
        <v>228250</v>
      </c>
      <c r="C305" s="10">
        <v>1874.4</v>
      </c>
    </row>
    <row r="306" spans="1:3" x14ac:dyDescent="0.25">
      <c r="A306" s="10" t="s">
        <v>141</v>
      </c>
      <c r="B306" s="10">
        <v>228500</v>
      </c>
      <c r="C306" s="10">
        <v>1875.7</v>
      </c>
    </row>
    <row r="307" spans="1:3" x14ac:dyDescent="0.25">
      <c r="A307" s="10" t="s">
        <v>141</v>
      </c>
      <c r="B307" s="10">
        <v>228750</v>
      </c>
      <c r="C307" s="10">
        <v>1877</v>
      </c>
    </row>
    <row r="308" spans="1:3" x14ac:dyDescent="0.25">
      <c r="A308" s="10" t="s">
        <v>141</v>
      </c>
      <c r="B308" s="10">
        <v>229000</v>
      </c>
      <c r="C308" s="10">
        <v>1878.3</v>
      </c>
    </row>
    <row r="309" spans="1:3" x14ac:dyDescent="0.25">
      <c r="A309" s="10" t="s">
        <v>141</v>
      </c>
      <c r="B309" s="10">
        <v>229250</v>
      </c>
      <c r="C309" s="10">
        <v>1879.6</v>
      </c>
    </row>
    <row r="310" spans="1:3" x14ac:dyDescent="0.25">
      <c r="A310" s="10" t="s">
        <v>141</v>
      </c>
      <c r="B310" s="10">
        <v>229500</v>
      </c>
      <c r="C310" s="10">
        <v>1880.9</v>
      </c>
    </row>
    <row r="311" spans="1:3" x14ac:dyDescent="0.25">
      <c r="A311" s="10" t="s">
        <v>141</v>
      </c>
      <c r="B311" s="10">
        <v>229750</v>
      </c>
      <c r="C311" s="10">
        <v>1882.2</v>
      </c>
    </row>
    <row r="312" spans="1:3" x14ac:dyDescent="0.25">
      <c r="A312" s="10" t="s">
        <v>141</v>
      </c>
      <c r="B312" s="10">
        <v>230000</v>
      </c>
      <c r="C312" s="10">
        <v>1883.5</v>
      </c>
    </row>
    <row r="313" spans="1:3" x14ac:dyDescent="0.25">
      <c r="A313" s="10" t="s">
        <v>141</v>
      </c>
      <c r="B313" s="10">
        <v>230250</v>
      </c>
      <c r="C313" s="10">
        <v>1886.1</v>
      </c>
    </row>
    <row r="314" spans="1:3" x14ac:dyDescent="0.25">
      <c r="A314" s="10" t="s">
        <v>141</v>
      </c>
      <c r="B314" s="10">
        <v>230500</v>
      </c>
      <c r="C314" s="10">
        <v>1886.1</v>
      </c>
    </row>
    <row r="315" spans="1:3" x14ac:dyDescent="0.25">
      <c r="A315" s="10" t="s">
        <v>141</v>
      </c>
      <c r="B315" s="10">
        <v>230750</v>
      </c>
      <c r="C315" s="10">
        <v>1887.4</v>
      </c>
    </row>
    <row r="316" spans="1:3" x14ac:dyDescent="0.25">
      <c r="A316" s="10" t="s">
        <v>141</v>
      </c>
      <c r="B316" s="10">
        <v>231000</v>
      </c>
      <c r="C316" s="10">
        <v>1888.7</v>
      </c>
    </row>
    <row r="317" spans="1:3" x14ac:dyDescent="0.25">
      <c r="A317" s="10" t="s">
        <v>141</v>
      </c>
      <c r="B317" s="10">
        <v>231250</v>
      </c>
      <c r="C317" s="10">
        <v>1890</v>
      </c>
    </row>
    <row r="318" spans="1:3" x14ac:dyDescent="0.25">
      <c r="A318" s="10" t="s">
        <v>141</v>
      </c>
      <c r="B318" s="10">
        <v>231500</v>
      </c>
      <c r="C318" s="10">
        <v>1891.2</v>
      </c>
    </row>
    <row r="319" spans="1:3" x14ac:dyDescent="0.25">
      <c r="A319" s="10" t="s">
        <v>141</v>
      </c>
      <c r="B319" s="10">
        <v>231750</v>
      </c>
      <c r="C319" s="10">
        <v>1892.5</v>
      </c>
    </row>
    <row r="320" spans="1:3" x14ac:dyDescent="0.25">
      <c r="A320" s="10" t="s">
        <v>141</v>
      </c>
      <c r="B320" s="10">
        <v>232000</v>
      </c>
      <c r="C320" s="10">
        <v>1893.8</v>
      </c>
    </row>
    <row r="321" spans="1:3" x14ac:dyDescent="0.25">
      <c r="A321" s="10" t="s">
        <v>141</v>
      </c>
      <c r="B321" s="10">
        <v>232250</v>
      </c>
      <c r="C321" s="10">
        <v>1895.1</v>
      </c>
    </row>
    <row r="322" spans="1:3" x14ac:dyDescent="0.25">
      <c r="A322" s="10" t="s">
        <v>141</v>
      </c>
      <c r="B322" s="10">
        <v>232500</v>
      </c>
      <c r="C322" s="10">
        <v>1896.4</v>
      </c>
    </row>
    <row r="323" spans="1:3" x14ac:dyDescent="0.25">
      <c r="A323" s="10" t="s">
        <v>141</v>
      </c>
      <c r="B323" s="10">
        <v>232750</v>
      </c>
      <c r="C323" s="10">
        <v>1897.7</v>
      </c>
    </row>
    <row r="324" spans="1:3" x14ac:dyDescent="0.25">
      <c r="A324" s="10" t="s">
        <v>141</v>
      </c>
      <c r="B324" s="10">
        <v>233000</v>
      </c>
      <c r="C324" s="10">
        <v>1899</v>
      </c>
    </row>
    <row r="325" spans="1:3" x14ac:dyDescent="0.25">
      <c r="A325" s="10" t="s">
        <v>141</v>
      </c>
      <c r="B325" s="10">
        <v>233250</v>
      </c>
      <c r="C325" s="10">
        <v>1900.3</v>
      </c>
    </row>
    <row r="326" spans="1:3" x14ac:dyDescent="0.25">
      <c r="A326" s="10" t="s">
        <v>141</v>
      </c>
      <c r="B326" s="10">
        <v>233500</v>
      </c>
      <c r="C326" s="10">
        <v>1901.6</v>
      </c>
    </row>
    <row r="327" spans="1:3" x14ac:dyDescent="0.25">
      <c r="A327" s="10" t="s">
        <v>141</v>
      </c>
      <c r="B327" s="10">
        <v>233750</v>
      </c>
      <c r="C327" s="10">
        <v>1902.9</v>
      </c>
    </row>
    <row r="328" spans="1:3" x14ac:dyDescent="0.25">
      <c r="A328" s="10" t="s">
        <v>141</v>
      </c>
      <c r="B328" s="10">
        <v>234000</v>
      </c>
      <c r="C328" s="10">
        <v>1904.2</v>
      </c>
    </row>
    <row r="329" spans="1:3" x14ac:dyDescent="0.25">
      <c r="A329" s="10" t="s">
        <v>141</v>
      </c>
      <c r="B329" s="10">
        <v>234250</v>
      </c>
      <c r="C329" s="10">
        <v>1905.5</v>
      </c>
    </row>
    <row r="330" spans="1:3" x14ac:dyDescent="0.25">
      <c r="A330" s="10" t="s">
        <v>141</v>
      </c>
      <c r="B330" s="10">
        <v>234500</v>
      </c>
      <c r="C330" s="10">
        <v>1908</v>
      </c>
    </row>
    <row r="331" spans="1:3" x14ac:dyDescent="0.25">
      <c r="A331" s="10" t="s">
        <v>141</v>
      </c>
      <c r="B331" s="10">
        <v>234750</v>
      </c>
      <c r="C331" s="10">
        <v>1909.3</v>
      </c>
    </row>
    <row r="332" spans="1:3" x14ac:dyDescent="0.25">
      <c r="A332" s="10" t="s">
        <v>141</v>
      </c>
      <c r="B332" s="10">
        <v>235000</v>
      </c>
      <c r="C332" s="10">
        <v>1910.6</v>
      </c>
    </row>
    <row r="333" spans="1:3" x14ac:dyDescent="0.25">
      <c r="A333" s="10" t="s">
        <v>141</v>
      </c>
      <c r="B333" s="10">
        <v>235250</v>
      </c>
      <c r="C333" s="10">
        <v>1911.9</v>
      </c>
    </row>
    <row r="334" spans="1:3" x14ac:dyDescent="0.25">
      <c r="A334" s="10" t="s">
        <v>141</v>
      </c>
      <c r="B334" s="10">
        <v>235500</v>
      </c>
      <c r="C334" s="10">
        <v>1914.5</v>
      </c>
    </row>
    <row r="335" spans="1:3" x14ac:dyDescent="0.25">
      <c r="A335" s="10" t="s">
        <v>141</v>
      </c>
      <c r="B335" s="10">
        <v>235750</v>
      </c>
      <c r="C335" s="10">
        <v>1915.8</v>
      </c>
    </row>
    <row r="336" spans="1:3" x14ac:dyDescent="0.25">
      <c r="A336" s="10" t="s">
        <v>141</v>
      </c>
      <c r="B336" s="10">
        <v>236000</v>
      </c>
      <c r="C336" s="10">
        <v>1918.4</v>
      </c>
    </row>
    <row r="337" spans="1:3" x14ac:dyDescent="0.25">
      <c r="A337" s="10" t="s">
        <v>141</v>
      </c>
      <c r="B337" s="10">
        <v>236250</v>
      </c>
      <c r="C337" s="10">
        <v>1919.7</v>
      </c>
    </row>
    <row r="338" spans="1:3" x14ac:dyDescent="0.25">
      <c r="A338" s="10" t="s">
        <v>141</v>
      </c>
      <c r="B338" s="10">
        <v>236500</v>
      </c>
      <c r="C338" s="10">
        <v>1922.3</v>
      </c>
    </row>
    <row r="339" spans="1:3" x14ac:dyDescent="0.25">
      <c r="A339" s="10" t="s">
        <v>141</v>
      </c>
      <c r="B339" s="10">
        <v>236750</v>
      </c>
      <c r="C339" s="10">
        <v>1924.8</v>
      </c>
    </row>
    <row r="340" spans="1:3" x14ac:dyDescent="0.25">
      <c r="A340" s="10" t="s">
        <v>141</v>
      </c>
      <c r="B340" s="10">
        <v>237000</v>
      </c>
      <c r="C340" s="10">
        <v>1927.4</v>
      </c>
    </row>
    <row r="341" spans="1:3" x14ac:dyDescent="0.25">
      <c r="A341" s="10" t="s">
        <v>141</v>
      </c>
      <c r="B341" s="10">
        <v>237250</v>
      </c>
      <c r="C341" s="10">
        <v>1932.6</v>
      </c>
    </row>
    <row r="342" spans="1:3" x14ac:dyDescent="0.25">
      <c r="A342" s="10" t="s">
        <v>141</v>
      </c>
      <c r="B342" s="10">
        <v>237500</v>
      </c>
      <c r="C342" s="10">
        <v>1936.5</v>
      </c>
    </row>
    <row r="343" spans="1:3" x14ac:dyDescent="0.25">
      <c r="A343" s="10" t="s">
        <v>141</v>
      </c>
      <c r="B343" s="10">
        <v>237750</v>
      </c>
      <c r="C343" s="10">
        <v>1941.6</v>
      </c>
    </row>
    <row r="344" spans="1:3" x14ac:dyDescent="0.25">
      <c r="A344" s="10" t="s">
        <v>141</v>
      </c>
      <c r="B344" s="10">
        <v>238000</v>
      </c>
      <c r="C344" s="10">
        <v>1946.8</v>
      </c>
    </row>
    <row r="345" spans="1:3" x14ac:dyDescent="0.25">
      <c r="A345" s="10" t="s">
        <v>141</v>
      </c>
      <c r="B345" s="10">
        <v>238250</v>
      </c>
      <c r="C345" s="10">
        <v>1952</v>
      </c>
    </row>
    <row r="346" spans="1:3" x14ac:dyDescent="0.25">
      <c r="A346" s="10" t="s">
        <v>141</v>
      </c>
      <c r="B346" s="10">
        <v>238500</v>
      </c>
      <c r="C346" s="10">
        <v>1954.6</v>
      </c>
    </row>
    <row r="347" spans="1:3" x14ac:dyDescent="0.25">
      <c r="A347" s="10" t="s">
        <v>141</v>
      </c>
      <c r="B347" s="10">
        <v>238750</v>
      </c>
      <c r="C347" s="10">
        <v>1959.7</v>
      </c>
    </row>
    <row r="348" spans="1:3" x14ac:dyDescent="0.25">
      <c r="A348" s="10" t="s">
        <v>141</v>
      </c>
      <c r="B348" s="10">
        <v>239000</v>
      </c>
      <c r="C348" s="10">
        <v>1964.9</v>
      </c>
    </row>
    <row r="349" spans="1:3" x14ac:dyDescent="0.25">
      <c r="A349" s="10" t="s">
        <v>141</v>
      </c>
      <c r="B349" s="10">
        <v>239250</v>
      </c>
      <c r="C349" s="10">
        <v>1968.8</v>
      </c>
    </row>
    <row r="350" spans="1:3" x14ac:dyDescent="0.25">
      <c r="A350" s="10" t="s">
        <v>141</v>
      </c>
      <c r="B350" s="10">
        <v>239500</v>
      </c>
      <c r="C350" s="10">
        <v>1973.9</v>
      </c>
    </row>
    <row r="351" spans="1:3" x14ac:dyDescent="0.25">
      <c r="A351" s="10" t="s">
        <v>141</v>
      </c>
      <c r="B351" s="10">
        <v>239750</v>
      </c>
      <c r="C351" s="10">
        <v>1977.8</v>
      </c>
    </row>
    <row r="352" spans="1:3" x14ac:dyDescent="0.25">
      <c r="A352" s="10" t="s">
        <v>141</v>
      </c>
      <c r="B352" s="10">
        <v>240000</v>
      </c>
      <c r="C352" s="10">
        <v>1983</v>
      </c>
    </row>
    <row r="353" spans="1:3" x14ac:dyDescent="0.25">
      <c r="A353" s="10" t="s">
        <v>141</v>
      </c>
      <c r="B353" s="10">
        <v>240250</v>
      </c>
      <c r="C353" s="10">
        <v>1986.9</v>
      </c>
    </row>
    <row r="354" spans="1:3" x14ac:dyDescent="0.25">
      <c r="A354" s="10" t="s">
        <v>141</v>
      </c>
      <c r="B354" s="10">
        <v>240500</v>
      </c>
      <c r="C354" s="10">
        <v>1992</v>
      </c>
    </row>
    <row r="355" spans="1:3" x14ac:dyDescent="0.25">
      <c r="A355" s="10" t="s">
        <v>141</v>
      </c>
      <c r="B355" s="10">
        <v>240750</v>
      </c>
      <c r="C355" s="10">
        <v>1995.9</v>
      </c>
    </row>
    <row r="356" spans="1:3" x14ac:dyDescent="0.25">
      <c r="A356" s="10" t="s">
        <v>141</v>
      </c>
      <c r="B356" s="10">
        <v>241000</v>
      </c>
      <c r="C356" s="10">
        <v>1999.8</v>
      </c>
    </row>
    <row r="357" spans="1:3" x14ac:dyDescent="0.25">
      <c r="A357" s="10" t="s">
        <v>141</v>
      </c>
      <c r="B357" s="10">
        <v>241250</v>
      </c>
      <c r="C357" s="10">
        <v>2005</v>
      </c>
    </row>
    <row r="358" spans="1:3" x14ac:dyDescent="0.25">
      <c r="A358" s="10" t="s">
        <v>141</v>
      </c>
      <c r="B358" s="10">
        <v>241500</v>
      </c>
      <c r="C358" s="10">
        <v>2008.8</v>
      </c>
    </row>
    <row r="359" spans="1:3" x14ac:dyDescent="0.25">
      <c r="A359" s="10" t="s">
        <v>141</v>
      </c>
      <c r="B359" s="10">
        <v>241750</v>
      </c>
      <c r="C359" s="10">
        <v>2014</v>
      </c>
    </row>
    <row r="360" spans="1:3" x14ac:dyDescent="0.25">
      <c r="A360" s="10" t="s">
        <v>141</v>
      </c>
      <c r="B360" s="10">
        <v>242000</v>
      </c>
      <c r="C360" s="10">
        <v>2017.9</v>
      </c>
    </row>
    <row r="361" spans="1:3" x14ac:dyDescent="0.25">
      <c r="A361" s="10" t="s">
        <v>141</v>
      </c>
      <c r="B361" s="10">
        <v>242250</v>
      </c>
      <c r="C361" s="10">
        <v>2023.1</v>
      </c>
    </row>
    <row r="362" spans="1:3" x14ac:dyDescent="0.25">
      <c r="A362" s="10" t="s">
        <v>141</v>
      </c>
      <c r="B362" s="10">
        <v>242500</v>
      </c>
      <c r="C362" s="10">
        <v>2026.9</v>
      </c>
    </row>
    <row r="363" spans="1:3" x14ac:dyDescent="0.25">
      <c r="A363" s="10" t="s">
        <v>141</v>
      </c>
      <c r="B363" s="10">
        <v>242750</v>
      </c>
      <c r="C363" s="10">
        <v>2032.1</v>
      </c>
    </row>
    <row r="364" spans="1:3" x14ac:dyDescent="0.25">
      <c r="A364" s="10" t="s">
        <v>141</v>
      </c>
      <c r="B364" s="10">
        <v>243000</v>
      </c>
      <c r="C364" s="10">
        <v>2036</v>
      </c>
    </row>
    <row r="365" spans="1:3" x14ac:dyDescent="0.25">
      <c r="A365" s="10" t="s">
        <v>141</v>
      </c>
      <c r="B365" s="10">
        <v>243250</v>
      </c>
      <c r="C365" s="10">
        <v>2041.1</v>
      </c>
    </row>
    <row r="366" spans="1:3" x14ac:dyDescent="0.25">
      <c r="A366" s="10" t="s">
        <v>141</v>
      </c>
      <c r="B366" s="10">
        <v>243500</v>
      </c>
      <c r="C366" s="10">
        <v>2045</v>
      </c>
    </row>
    <row r="367" spans="1:3" x14ac:dyDescent="0.25">
      <c r="A367" s="10" t="s">
        <v>141</v>
      </c>
      <c r="B367" s="10">
        <v>243750</v>
      </c>
      <c r="C367" s="10">
        <v>2050.1999999999998</v>
      </c>
    </row>
    <row r="368" spans="1:3" x14ac:dyDescent="0.25">
      <c r="A368" s="10" t="s">
        <v>141</v>
      </c>
      <c r="B368" s="10">
        <v>244000</v>
      </c>
      <c r="C368" s="10">
        <v>2054.1</v>
      </c>
    </row>
    <row r="369" spans="1:3" x14ac:dyDescent="0.25">
      <c r="A369" s="10" t="s">
        <v>141</v>
      </c>
      <c r="B369" s="10">
        <v>244250</v>
      </c>
      <c r="C369" s="10">
        <v>2057.9</v>
      </c>
    </row>
    <row r="370" spans="1:3" x14ac:dyDescent="0.25">
      <c r="A370" s="10" t="s">
        <v>141</v>
      </c>
      <c r="B370" s="10">
        <v>244500</v>
      </c>
      <c r="C370" s="10">
        <v>2063.1</v>
      </c>
    </row>
    <row r="371" spans="1:3" x14ac:dyDescent="0.25">
      <c r="A371" s="10" t="s">
        <v>141</v>
      </c>
      <c r="B371" s="10">
        <v>244750</v>
      </c>
      <c r="C371" s="10">
        <v>2067</v>
      </c>
    </row>
    <row r="372" spans="1:3" x14ac:dyDescent="0.25">
      <c r="A372" s="10" t="s">
        <v>141</v>
      </c>
      <c r="B372" s="10">
        <v>245000</v>
      </c>
      <c r="C372" s="10">
        <v>2072.1999999999998</v>
      </c>
    </row>
    <row r="373" spans="1:3" x14ac:dyDescent="0.25">
      <c r="A373" s="10" t="s">
        <v>141</v>
      </c>
      <c r="B373" s="10">
        <v>245250</v>
      </c>
      <c r="C373" s="10">
        <v>2076</v>
      </c>
    </row>
    <row r="374" spans="1:3" x14ac:dyDescent="0.25">
      <c r="A374" s="10" t="s">
        <v>141</v>
      </c>
      <c r="B374" s="10">
        <v>245500</v>
      </c>
      <c r="C374" s="10">
        <v>2081.1999999999998</v>
      </c>
    </row>
    <row r="375" spans="1:3" x14ac:dyDescent="0.25">
      <c r="A375" s="10" t="s">
        <v>141</v>
      </c>
      <c r="B375" s="10">
        <v>245750</v>
      </c>
      <c r="C375" s="10">
        <v>2085.1</v>
      </c>
    </row>
    <row r="376" spans="1:3" x14ac:dyDescent="0.25">
      <c r="A376" s="10" t="s">
        <v>141</v>
      </c>
      <c r="B376" s="10">
        <v>246000</v>
      </c>
      <c r="C376" s="10">
        <v>2089</v>
      </c>
    </row>
    <row r="377" spans="1:3" x14ac:dyDescent="0.25">
      <c r="A377" s="10" t="s">
        <v>141</v>
      </c>
      <c r="B377" s="10">
        <v>246250</v>
      </c>
      <c r="C377" s="10">
        <v>2094.1</v>
      </c>
    </row>
    <row r="378" spans="1:3" x14ac:dyDescent="0.25">
      <c r="A378" s="10" t="s">
        <v>141</v>
      </c>
      <c r="B378" s="10">
        <v>246500</v>
      </c>
      <c r="C378" s="10">
        <v>2098</v>
      </c>
    </row>
    <row r="379" spans="1:3" x14ac:dyDescent="0.25">
      <c r="A379" s="10" t="s">
        <v>141</v>
      </c>
      <c r="B379" s="10">
        <v>246750</v>
      </c>
      <c r="C379" s="10">
        <v>2103.1999999999998</v>
      </c>
    </row>
    <row r="380" spans="1:3" x14ac:dyDescent="0.25">
      <c r="A380" s="10" t="s">
        <v>141</v>
      </c>
      <c r="B380" s="10">
        <v>247000</v>
      </c>
      <c r="C380" s="10">
        <v>2107.1</v>
      </c>
    </row>
    <row r="381" spans="1:3" x14ac:dyDescent="0.25">
      <c r="A381" s="10" t="s">
        <v>141</v>
      </c>
      <c r="B381" s="10">
        <v>247250</v>
      </c>
      <c r="C381" s="10">
        <v>2110.9</v>
      </c>
    </row>
    <row r="382" spans="1:3" x14ac:dyDescent="0.25">
      <c r="A382" s="10" t="s">
        <v>141</v>
      </c>
      <c r="B382" s="10">
        <v>247500</v>
      </c>
      <c r="C382" s="10">
        <v>2116.1</v>
      </c>
    </row>
    <row r="383" spans="1:3" x14ac:dyDescent="0.25">
      <c r="A383" s="10" t="s">
        <v>141</v>
      </c>
      <c r="B383" s="10">
        <v>247750</v>
      </c>
      <c r="C383" s="10">
        <v>2120</v>
      </c>
    </row>
    <row r="384" spans="1:3" x14ac:dyDescent="0.25">
      <c r="A384" s="10" t="s">
        <v>141</v>
      </c>
      <c r="B384" s="10">
        <v>248000</v>
      </c>
      <c r="C384" s="10">
        <v>2125.1</v>
      </c>
    </row>
    <row r="385" spans="1:3" x14ac:dyDescent="0.25">
      <c r="A385" s="10" t="s">
        <v>141</v>
      </c>
      <c r="B385" s="10">
        <v>248250</v>
      </c>
      <c r="C385" s="10">
        <v>2129</v>
      </c>
    </row>
    <row r="386" spans="1:3" x14ac:dyDescent="0.25">
      <c r="A386" s="10" t="s">
        <v>141</v>
      </c>
      <c r="B386" s="10">
        <v>248500</v>
      </c>
      <c r="C386" s="10">
        <v>2134.1999999999998</v>
      </c>
    </row>
    <row r="387" spans="1:3" x14ac:dyDescent="0.25">
      <c r="A387" s="10" t="s">
        <v>141</v>
      </c>
      <c r="B387" s="10">
        <v>248750</v>
      </c>
      <c r="C387" s="10">
        <v>2138.1</v>
      </c>
    </row>
    <row r="388" spans="1:3" x14ac:dyDescent="0.25">
      <c r="A388" s="10" t="s">
        <v>141</v>
      </c>
      <c r="B388" s="10">
        <v>249000</v>
      </c>
      <c r="C388" s="10">
        <v>2141.9</v>
      </c>
    </row>
    <row r="389" spans="1:3" x14ac:dyDescent="0.25">
      <c r="A389" s="10" t="s">
        <v>141</v>
      </c>
      <c r="B389" s="10">
        <v>249250</v>
      </c>
      <c r="C389" s="10">
        <v>2147.1</v>
      </c>
    </row>
    <row r="390" spans="1:3" x14ac:dyDescent="0.25">
      <c r="A390" s="10" t="s">
        <v>141</v>
      </c>
      <c r="B390" s="10">
        <v>249500</v>
      </c>
      <c r="C390" s="10">
        <v>2149.6999999999998</v>
      </c>
    </row>
    <row r="391" spans="1:3" x14ac:dyDescent="0.25">
      <c r="A391" s="10" t="s">
        <v>141</v>
      </c>
      <c r="B391" s="10">
        <v>249750</v>
      </c>
      <c r="C391" s="10">
        <v>2153.6</v>
      </c>
    </row>
    <row r="392" spans="1:3" x14ac:dyDescent="0.25">
      <c r="A392" s="10" t="s">
        <v>141</v>
      </c>
      <c r="B392" s="10">
        <v>250000</v>
      </c>
      <c r="C392" s="10">
        <v>2157.4</v>
      </c>
    </row>
    <row r="393" spans="1:3" x14ac:dyDescent="0.25">
      <c r="A393" s="10" t="s">
        <v>141</v>
      </c>
      <c r="B393" s="10">
        <v>250250</v>
      </c>
      <c r="C393" s="10">
        <v>2161.3000000000002</v>
      </c>
    </row>
    <row r="394" spans="1:3" x14ac:dyDescent="0.25">
      <c r="A394" s="10" t="s">
        <v>141</v>
      </c>
      <c r="B394" s="10">
        <v>250500</v>
      </c>
      <c r="C394" s="10">
        <v>2166.5</v>
      </c>
    </row>
    <row r="395" spans="1:3" x14ac:dyDescent="0.25">
      <c r="A395" s="10" t="s">
        <v>141</v>
      </c>
      <c r="B395" s="10">
        <v>250750</v>
      </c>
      <c r="C395" s="10">
        <v>2171.6999999999998</v>
      </c>
    </row>
    <row r="396" spans="1:3" x14ac:dyDescent="0.25">
      <c r="A396" s="10" t="s">
        <v>141</v>
      </c>
      <c r="B396" s="10">
        <v>251000</v>
      </c>
      <c r="C396" s="10">
        <v>2175.5</v>
      </c>
    </row>
    <row r="397" spans="1:3" x14ac:dyDescent="0.25">
      <c r="A397" s="10" t="s">
        <v>141</v>
      </c>
      <c r="B397" s="10">
        <v>251250</v>
      </c>
      <c r="C397" s="10">
        <v>2180.6999999999998</v>
      </c>
    </row>
    <row r="398" spans="1:3" x14ac:dyDescent="0.25">
      <c r="A398" s="10" t="s">
        <v>141</v>
      </c>
      <c r="B398" s="10">
        <v>251500</v>
      </c>
      <c r="C398" s="10">
        <v>2185.9</v>
      </c>
    </row>
    <row r="399" spans="1:3" x14ac:dyDescent="0.25">
      <c r="A399" s="10" t="s">
        <v>141</v>
      </c>
      <c r="B399" s="10">
        <v>251750</v>
      </c>
      <c r="C399" s="10">
        <v>2189.8000000000002</v>
      </c>
    </row>
    <row r="400" spans="1:3" x14ac:dyDescent="0.25">
      <c r="A400" s="10" t="s">
        <v>141</v>
      </c>
      <c r="B400" s="10">
        <v>252000</v>
      </c>
      <c r="C400" s="10">
        <v>2194.9</v>
      </c>
    </row>
    <row r="401" spans="1:3" x14ac:dyDescent="0.25">
      <c r="A401" s="10" t="s">
        <v>141</v>
      </c>
      <c r="B401" s="10">
        <v>252250</v>
      </c>
      <c r="C401" s="10">
        <v>2198.8000000000002</v>
      </c>
    </row>
    <row r="402" spans="1:3" x14ac:dyDescent="0.25">
      <c r="A402" s="10" t="s">
        <v>141</v>
      </c>
      <c r="B402" s="10">
        <v>252500</v>
      </c>
      <c r="C402" s="10">
        <v>2204</v>
      </c>
    </row>
    <row r="403" spans="1:3" x14ac:dyDescent="0.25">
      <c r="A403" s="10" t="s">
        <v>141</v>
      </c>
      <c r="B403" s="10">
        <v>252750</v>
      </c>
      <c r="C403" s="10">
        <v>2209.1</v>
      </c>
    </row>
    <row r="404" spans="1:3" x14ac:dyDescent="0.25">
      <c r="A404" s="10" t="s">
        <v>141</v>
      </c>
      <c r="B404" s="10">
        <v>253000</v>
      </c>
      <c r="C404" s="10">
        <v>2213</v>
      </c>
    </row>
    <row r="405" spans="1:3" x14ac:dyDescent="0.25">
      <c r="A405" s="10" t="s">
        <v>141</v>
      </c>
      <c r="B405" s="10">
        <v>253250</v>
      </c>
      <c r="C405" s="10">
        <v>2218.1999999999998</v>
      </c>
    </row>
    <row r="406" spans="1:3" x14ac:dyDescent="0.25">
      <c r="A406" s="10" t="s">
        <v>141</v>
      </c>
      <c r="B406" s="10">
        <v>253500</v>
      </c>
      <c r="C406" s="10">
        <v>2223.4</v>
      </c>
    </row>
    <row r="407" spans="1:3" x14ac:dyDescent="0.25">
      <c r="A407" s="10" t="s">
        <v>141</v>
      </c>
      <c r="B407" s="10">
        <v>253750</v>
      </c>
      <c r="C407" s="10">
        <v>2228.5</v>
      </c>
    </row>
    <row r="408" spans="1:3" x14ac:dyDescent="0.25">
      <c r="A408" s="10" t="s">
        <v>141</v>
      </c>
      <c r="B408" s="10">
        <v>254000</v>
      </c>
      <c r="C408" s="10">
        <v>2232.4</v>
      </c>
    </row>
    <row r="409" spans="1:3" x14ac:dyDescent="0.25">
      <c r="A409" s="10" t="s">
        <v>141</v>
      </c>
      <c r="B409" s="10">
        <v>254250</v>
      </c>
      <c r="C409" s="10">
        <v>2237.6</v>
      </c>
    </row>
    <row r="410" spans="1:3" x14ac:dyDescent="0.25">
      <c r="A410" s="10" t="s">
        <v>141</v>
      </c>
      <c r="B410" s="10">
        <v>254500</v>
      </c>
      <c r="C410" s="10">
        <v>2242.6999999999998</v>
      </c>
    </row>
    <row r="411" spans="1:3" x14ac:dyDescent="0.25">
      <c r="A411" s="10" t="s">
        <v>141</v>
      </c>
      <c r="B411" s="10">
        <v>254750</v>
      </c>
      <c r="C411" s="10">
        <v>2247.9</v>
      </c>
    </row>
    <row r="412" spans="1:3" x14ac:dyDescent="0.25">
      <c r="A412" s="10" t="s">
        <v>141</v>
      </c>
      <c r="B412" s="10">
        <v>255000</v>
      </c>
      <c r="C412" s="10">
        <v>2251.8000000000002</v>
      </c>
    </row>
    <row r="413" spans="1:3" x14ac:dyDescent="0.25">
      <c r="A413" s="10" t="s">
        <v>141</v>
      </c>
      <c r="B413" s="10">
        <v>255250</v>
      </c>
      <c r="C413" s="10">
        <v>2257</v>
      </c>
    </row>
    <row r="414" spans="1:3" x14ac:dyDescent="0.25">
      <c r="A414" s="10" t="s">
        <v>141</v>
      </c>
      <c r="B414" s="10">
        <v>255500</v>
      </c>
      <c r="C414" s="10">
        <v>2262.1</v>
      </c>
    </row>
    <row r="415" spans="1:3" x14ac:dyDescent="0.25">
      <c r="A415" s="10" t="s">
        <v>141</v>
      </c>
      <c r="B415" s="10">
        <v>255750</v>
      </c>
      <c r="C415" s="10">
        <v>2267.3000000000002</v>
      </c>
    </row>
    <row r="416" spans="1:3" x14ac:dyDescent="0.25">
      <c r="A416" s="10" t="s">
        <v>141</v>
      </c>
      <c r="B416" s="10">
        <v>256000</v>
      </c>
      <c r="C416" s="10">
        <v>2272.5</v>
      </c>
    </row>
    <row r="417" spans="1:3" x14ac:dyDescent="0.25">
      <c r="A417" s="10" t="s">
        <v>141</v>
      </c>
      <c r="B417" s="10">
        <v>256250</v>
      </c>
      <c r="C417" s="10">
        <v>2277.6</v>
      </c>
    </row>
    <row r="418" spans="1:3" x14ac:dyDescent="0.25">
      <c r="A418" s="10" t="s">
        <v>141</v>
      </c>
      <c r="B418" s="10">
        <v>256500</v>
      </c>
      <c r="C418" s="10">
        <v>2282.8000000000002</v>
      </c>
    </row>
    <row r="419" spans="1:3" x14ac:dyDescent="0.25">
      <c r="A419" s="10" t="s">
        <v>141</v>
      </c>
      <c r="B419" s="10">
        <v>256750</v>
      </c>
      <c r="C419" s="10">
        <v>2288</v>
      </c>
    </row>
    <row r="420" spans="1:3" x14ac:dyDescent="0.25">
      <c r="A420" s="10" t="s">
        <v>141</v>
      </c>
      <c r="B420" s="10">
        <v>257000</v>
      </c>
      <c r="C420" s="10">
        <v>2293.1</v>
      </c>
    </row>
    <row r="421" spans="1:3" x14ac:dyDescent="0.25">
      <c r="A421" s="10" t="s">
        <v>141</v>
      </c>
      <c r="B421" s="10">
        <v>257250</v>
      </c>
      <c r="C421" s="10">
        <v>2298.3000000000002</v>
      </c>
    </row>
    <row r="422" spans="1:3" x14ac:dyDescent="0.25">
      <c r="A422" s="10" t="s">
        <v>141</v>
      </c>
      <c r="B422" s="10">
        <v>257500</v>
      </c>
      <c r="C422" s="10">
        <v>2303.5</v>
      </c>
    </row>
    <row r="423" spans="1:3" x14ac:dyDescent="0.25">
      <c r="A423" s="10" t="s">
        <v>141</v>
      </c>
      <c r="B423" s="10">
        <v>257750</v>
      </c>
      <c r="C423" s="10">
        <v>2308.6</v>
      </c>
    </row>
    <row r="424" spans="1:3" x14ac:dyDescent="0.25">
      <c r="A424" s="10" t="s">
        <v>141</v>
      </c>
      <c r="B424" s="10">
        <v>258000</v>
      </c>
      <c r="C424" s="10">
        <v>2313.8000000000002</v>
      </c>
    </row>
    <row r="425" spans="1:3" x14ac:dyDescent="0.25">
      <c r="A425" s="10" t="s">
        <v>141</v>
      </c>
      <c r="B425" s="10">
        <v>258250</v>
      </c>
      <c r="C425" s="10">
        <v>2319</v>
      </c>
    </row>
    <row r="426" spans="1:3" x14ac:dyDescent="0.25">
      <c r="A426" s="10" t="s">
        <v>141</v>
      </c>
      <c r="B426" s="10">
        <v>258500</v>
      </c>
      <c r="C426" s="10">
        <v>2322.9</v>
      </c>
    </row>
    <row r="427" spans="1:3" x14ac:dyDescent="0.25">
      <c r="A427" s="10" t="s">
        <v>141</v>
      </c>
      <c r="B427" s="10">
        <v>258750</v>
      </c>
      <c r="C427" s="10">
        <v>2328</v>
      </c>
    </row>
    <row r="428" spans="1:3" x14ac:dyDescent="0.25">
      <c r="A428" s="10" t="s">
        <v>141</v>
      </c>
      <c r="B428" s="10">
        <v>259000</v>
      </c>
      <c r="C428" s="10">
        <v>2333.1999999999998</v>
      </c>
    </row>
    <row r="429" spans="1:3" x14ac:dyDescent="0.25">
      <c r="A429" s="10" t="s">
        <v>141</v>
      </c>
      <c r="B429" s="10">
        <v>259250</v>
      </c>
      <c r="C429" s="10">
        <v>2338.4</v>
      </c>
    </row>
    <row r="430" spans="1:3" x14ac:dyDescent="0.25">
      <c r="A430" s="10" t="s">
        <v>141</v>
      </c>
      <c r="B430" s="10">
        <v>259500</v>
      </c>
      <c r="C430" s="10">
        <v>2343.5</v>
      </c>
    </row>
    <row r="431" spans="1:3" x14ac:dyDescent="0.25">
      <c r="A431" s="10" t="s">
        <v>141</v>
      </c>
      <c r="B431" s="10">
        <v>259750</v>
      </c>
      <c r="C431" s="10">
        <v>2347.4</v>
      </c>
    </row>
    <row r="432" spans="1:3" x14ac:dyDescent="0.25">
      <c r="A432" s="10" t="s">
        <v>141</v>
      </c>
      <c r="B432" s="10">
        <v>260000</v>
      </c>
      <c r="C432" s="10">
        <v>2352.6</v>
      </c>
    </row>
    <row r="433" spans="1:3" x14ac:dyDescent="0.25">
      <c r="A433" s="10" t="s">
        <v>141</v>
      </c>
      <c r="B433" s="10">
        <v>260250</v>
      </c>
      <c r="C433" s="10">
        <v>2355.1999999999998</v>
      </c>
    </row>
    <row r="434" spans="1:3" x14ac:dyDescent="0.25">
      <c r="A434" s="10" t="s">
        <v>141</v>
      </c>
      <c r="B434" s="10">
        <v>260500</v>
      </c>
      <c r="C434" s="10">
        <v>2360.3000000000002</v>
      </c>
    </row>
    <row r="435" spans="1:3" x14ac:dyDescent="0.25">
      <c r="A435" s="10" t="s">
        <v>141</v>
      </c>
      <c r="B435" s="10">
        <v>260750</v>
      </c>
      <c r="C435" s="10">
        <v>2365.5</v>
      </c>
    </row>
    <row r="436" spans="1:3" x14ac:dyDescent="0.25">
      <c r="A436" s="10" t="s">
        <v>141</v>
      </c>
      <c r="B436" s="10">
        <v>261000</v>
      </c>
      <c r="C436" s="10">
        <v>2370.6999999999998</v>
      </c>
    </row>
    <row r="437" spans="1:3" x14ac:dyDescent="0.25">
      <c r="A437" s="10" t="s">
        <v>141</v>
      </c>
      <c r="B437" s="10">
        <v>261250</v>
      </c>
      <c r="C437" s="10">
        <v>2375.8000000000002</v>
      </c>
    </row>
    <row r="438" spans="1:3" x14ac:dyDescent="0.25">
      <c r="A438" s="10" t="s">
        <v>141</v>
      </c>
      <c r="B438" s="10">
        <v>261500</v>
      </c>
      <c r="C438" s="10">
        <v>2381</v>
      </c>
    </row>
    <row r="439" spans="1:3" x14ac:dyDescent="0.25">
      <c r="A439" s="10" t="s">
        <v>141</v>
      </c>
      <c r="B439" s="10">
        <v>261750</v>
      </c>
      <c r="C439" s="10">
        <v>2386.1999999999998</v>
      </c>
    </row>
    <row r="440" spans="1:3" x14ac:dyDescent="0.25">
      <c r="A440" s="10" t="s">
        <v>141</v>
      </c>
      <c r="B440" s="10">
        <v>262000</v>
      </c>
      <c r="C440" s="10">
        <v>2390.1</v>
      </c>
    </row>
    <row r="441" spans="1:3" x14ac:dyDescent="0.25">
      <c r="A441" s="10" t="s">
        <v>141</v>
      </c>
      <c r="B441" s="10">
        <v>262250</v>
      </c>
      <c r="C441" s="10">
        <v>2395.1999999999998</v>
      </c>
    </row>
    <row r="442" spans="1:3" x14ac:dyDescent="0.25">
      <c r="A442" s="10" t="s">
        <v>141</v>
      </c>
      <c r="B442" s="10">
        <v>262500</v>
      </c>
      <c r="C442" s="10">
        <v>2400.4</v>
      </c>
    </row>
    <row r="443" spans="1:3" x14ac:dyDescent="0.25">
      <c r="A443" s="10" t="s">
        <v>141</v>
      </c>
      <c r="B443" s="10">
        <v>262750</v>
      </c>
      <c r="C443" s="10">
        <v>2405.6</v>
      </c>
    </row>
    <row r="444" spans="1:3" x14ac:dyDescent="0.25">
      <c r="A444" s="10" t="s">
        <v>141</v>
      </c>
      <c r="B444" s="10">
        <v>263000</v>
      </c>
      <c r="C444" s="10">
        <v>2410.6999999999998</v>
      </c>
    </row>
    <row r="445" spans="1:3" x14ac:dyDescent="0.25">
      <c r="A445" s="10" t="s">
        <v>141</v>
      </c>
      <c r="B445" s="10">
        <v>263250</v>
      </c>
      <c r="C445" s="10">
        <v>2414.6</v>
      </c>
    </row>
    <row r="446" spans="1:3" x14ac:dyDescent="0.25">
      <c r="A446" s="10" t="s">
        <v>141</v>
      </c>
      <c r="B446" s="10">
        <v>263500</v>
      </c>
      <c r="C446" s="10">
        <v>2419.8000000000002</v>
      </c>
    </row>
    <row r="447" spans="1:3" x14ac:dyDescent="0.25">
      <c r="A447" s="10" t="s">
        <v>141</v>
      </c>
      <c r="B447" s="10">
        <v>263750</v>
      </c>
      <c r="C447" s="10">
        <v>2424.9</v>
      </c>
    </row>
    <row r="448" spans="1:3" x14ac:dyDescent="0.25">
      <c r="A448" s="10" t="s">
        <v>141</v>
      </c>
      <c r="B448" s="10">
        <v>264000</v>
      </c>
      <c r="C448" s="10">
        <v>2430.1</v>
      </c>
    </row>
    <row r="449" spans="1:3" x14ac:dyDescent="0.25">
      <c r="A449" s="10" t="s">
        <v>141</v>
      </c>
      <c r="B449" s="10">
        <v>264250</v>
      </c>
      <c r="C449" s="10">
        <v>2435.3000000000002</v>
      </c>
    </row>
    <row r="450" spans="1:3" x14ac:dyDescent="0.25">
      <c r="A450" s="10" t="s">
        <v>141</v>
      </c>
      <c r="B450" s="10">
        <v>264500</v>
      </c>
      <c r="C450" s="10">
        <v>2440.5</v>
      </c>
    </row>
    <row r="451" spans="1:3" x14ac:dyDescent="0.25">
      <c r="A451" s="10" t="s">
        <v>141</v>
      </c>
      <c r="B451" s="10">
        <v>264750</v>
      </c>
      <c r="C451" s="10">
        <v>2445.6</v>
      </c>
    </row>
    <row r="452" spans="1:3" x14ac:dyDescent="0.25">
      <c r="A452" s="10" t="s">
        <v>141</v>
      </c>
      <c r="B452" s="10">
        <v>265000</v>
      </c>
      <c r="C452" s="10">
        <v>2450.8000000000002</v>
      </c>
    </row>
    <row r="453" spans="1:3" x14ac:dyDescent="0.25">
      <c r="A453" s="10" t="s">
        <v>141</v>
      </c>
      <c r="B453" s="10">
        <v>265250</v>
      </c>
      <c r="C453" s="10">
        <v>2456</v>
      </c>
    </row>
    <row r="454" spans="1:3" x14ac:dyDescent="0.25">
      <c r="A454" s="10" t="s">
        <v>141</v>
      </c>
      <c r="B454" s="10">
        <v>265500</v>
      </c>
      <c r="C454" s="10">
        <v>2461.1</v>
      </c>
    </row>
    <row r="455" spans="1:3" x14ac:dyDescent="0.25">
      <c r="A455" s="10" t="s">
        <v>141</v>
      </c>
      <c r="B455" s="10">
        <v>265750</v>
      </c>
      <c r="C455" s="10">
        <v>2466.3000000000002</v>
      </c>
    </row>
    <row r="456" spans="1:3" x14ac:dyDescent="0.25">
      <c r="A456" s="10" t="s">
        <v>141</v>
      </c>
      <c r="B456" s="10">
        <v>266000</v>
      </c>
      <c r="C456" s="10">
        <v>2471.5</v>
      </c>
    </row>
    <row r="457" spans="1:3" x14ac:dyDescent="0.25">
      <c r="A457" s="10" t="s">
        <v>141</v>
      </c>
      <c r="B457" s="10">
        <v>266250</v>
      </c>
      <c r="C457" s="10">
        <v>2476.6</v>
      </c>
    </row>
    <row r="458" spans="1:3" x14ac:dyDescent="0.25">
      <c r="A458" s="10" t="s">
        <v>141</v>
      </c>
      <c r="B458" s="10">
        <v>266500</v>
      </c>
      <c r="C458" s="10">
        <v>2481.8000000000002</v>
      </c>
    </row>
    <row r="459" spans="1:3" x14ac:dyDescent="0.25">
      <c r="A459" s="10" t="s">
        <v>141</v>
      </c>
      <c r="B459" s="10">
        <v>266750</v>
      </c>
      <c r="C459" s="10">
        <v>2487</v>
      </c>
    </row>
    <row r="460" spans="1:3" x14ac:dyDescent="0.25">
      <c r="A460" s="10" t="s">
        <v>141</v>
      </c>
      <c r="B460" s="10">
        <v>267000</v>
      </c>
      <c r="C460" s="10">
        <v>2492.1</v>
      </c>
    </row>
    <row r="461" spans="1:3" x14ac:dyDescent="0.25">
      <c r="A461" s="10" t="s">
        <v>141</v>
      </c>
      <c r="B461" s="10">
        <v>267250</v>
      </c>
      <c r="C461" s="10">
        <v>2497.3000000000002</v>
      </c>
    </row>
    <row r="462" spans="1:3" x14ac:dyDescent="0.25">
      <c r="A462" s="10" t="s">
        <v>141</v>
      </c>
      <c r="B462" s="10">
        <v>267500</v>
      </c>
      <c r="C462" s="10">
        <v>2502.5</v>
      </c>
    </row>
    <row r="463" spans="1:3" x14ac:dyDescent="0.25">
      <c r="A463" s="10" t="s">
        <v>141</v>
      </c>
      <c r="B463" s="10">
        <v>267750</v>
      </c>
      <c r="C463" s="10">
        <v>2507.6999999999998</v>
      </c>
    </row>
    <row r="464" spans="1:3" x14ac:dyDescent="0.25">
      <c r="A464" s="10" t="s">
        <v>141</v>
      </c>
      <c r="B464" s="10">
        <v>268000</v>
      </c>
      <c r="C464" s="10">
        <v>2512.8000000000002</v>
      </c>
    </row>
    <row r="465" spans="1:3" x14ac:dyDescent="0.25">
      <c r="A465" s="10" t="s">
        <v>141</v>
      </c>
      <c r="B465" s="10">
        <v>268250</v>
      </c>
      <c r="C465" s="10">
        <v>2518</v>
      </c>
    </row>
    <row r="466" spans="1:3" x14ac:dyDescent="0.25">
      <c r="A466" s="10" t="s">
        <v>141</v>
      </c>
      <c r="B466" s="10">
        <v>268500</v>
      </c>
      <c r="C466" s="10">
        <v>2523.1999999999998</v>
      </c>
    </row>
    <row r="467" spans="1:3" x14ac:dyDescent="0.25">
      <c r="A467" s="10" t="s">
        <v>141</v>
      </c>
      <c r="B467" s="10">
        <v>268750</v>
      </c>
      <c r="C467" s="10">
        <v>2528.3000000000002</v>
      </c>
    </row>
    <row r="468" spans="1:3" x14ac:dyDescent="0.25">
      <c r="A468" s="10" t="s">
        <v>141</v>
      </c>
      <c r="B468" s="10">
        <v>269000</v>
      </c>
      <c r="C468" s="10">
        <v>2533.5</v>
      </c>
    </row>
    <row r="469" spans="1:3" x14ac:dyDescent="0.25">
      <c r="A469" s="10" t="s">
        <v>141</v>
      </c>
      <c r="B469" s="10">
        <v>269250</v>
      </c>
      <c r="C469" s="10">
        <v>2538.6999999999998</v>
      </c>
    </row>
    <row r="470" spans="1:3" x14ac:dyDescent="0.25">
      <c r="A470" s="10" t="s">
        <v>141</v>
      </c>
      <c r="B470" s="10">
        <v>269500</v>
      </c>
      <c r="C470" s="10">
        <v>2543.8000000000002</v>
      </c>
    </row>
    <row r="471" spans="1:3" x14ac:dyDescent="0.25">
      <c r="A471" s="10" t="s">
        <v>141</v>
      </c>
      <c r="B471" s="10">
        <v>269750</v>
      </c>
      <c r="C471" s="10">
        <v>2549</v>
      </c>
    </row>
    <row r="472" spans="1:3" x14ac:dyDescent="0.25">
      <c r="A472" s="10" t="s">
        <v>141</v>
      </c>
      <c r="B472" s="10">
        <v>270000</v>
      </c>
      <c r="C472" s="10">
        <v>2554.1999999999998</v>
      </c>
    </row>
    <row r="473" spans="1:3" x14ac:dyDescent="0.25">
      <c r="A473" s="10" t="s">
        <v>141</v>
      </c>
      <c r="B473" s="10">
        <v>270250</v>
      </c>
      <c r="C473" s="10">
        <v>2559.3000000000002</v>
      </c>
    </row>
    <row r="474" spans="1:3" x14ac:dyDescent="0.25">
      <c r="A474" s="10" t="s">
        <v>141</v>
      </c>
      <c r="B474" s="10">
        <v>270500</v>
      </c>
      <c r="C474" s="10">
        <v>2564.5</v>
      </c>
    </row>
    <row r="475" spans="1:3" x14ac:dyDescent="0.25">
      <c r="A475" s="10" t="s">
        <v>141</v>
      </c>
      <c r="B475" s="10">
        <v>270750</v>
      </c>
      <c r="C475" s="10">
        <v>2569.6999999999998</v>
      </c>
    </row>
    <row r="476" spans="1:3" x14ac:dyDescent="0.25">
      <c r="A476" s="10" t="s">
        <v>141</v>
      </c>
      <c r="B476" s="10">
        <v>271000</v>
      </c>
      <c r="C476" s="10">
        <v>2577.4</v>
      </c>
    </row>
    <row r="477" spans="1:3" x14ac:dyDescent="0.25">
      <c r="A477" s="10" t="s">
        <v>141</v>
      </c>
      <c r="B477" s="10">
        <v>271250</v>
      </c>
      <c r="C477" s="10">
        <v>2580</v>
      </c>
    </row>
    <row r="478" spans="1:3" x14ac:dyDescent="0.25">
      <c r="A478" s="10" t="s">
        <v>141</v>
      </c>
      <c r="B478" s="10">
        <v>271500</v>
      </c>
      <c r="C478" s="10">
        <v>2585.1999999999998</v>
      </c>
    </row>
    <row r="479" spans="1:3" x14ac:dyDescent="0.25">
      <c r="A479" s="10" t="s">
        <v>141</v>
      </c>
      <c r="B479" s="10">
        <v>271750</v>
      </c>
      <c r="C479" s="10">
        <v>2591.6</v>
      </c>
    </row>
    <row r="480" spans="1:3" x14ac:dyDescent="0.25">
      <c r="A480" s="10" t="s">
        <v>141</v>
      </c>
      <c r="B480" s="10">
        <v>272000</v>
      </c>
      <c r="C480" s="10">
        <v>2599.4</v>
      </c>
    </row>
    <row r="481" spans="1:3" x14ac:dyDescent="0.25">
      <c r="A481" s="10" t="s">
        <v>141</v>
      </c>
      <c r="B481" s="10">
        <v>272250</v>
      </c>
      <c r="C481" s="10">
        <v>2607.1999999999998</v>
      </c>
    </row>
    <row r="482" spans="1:3" x14ac:dyDescent="0.25">
      <c r="A482" s="10" t="s">
        <v>141</v>
      </c>
      <c r="B482" s="10">
        <v>272500</v>
      </c>
      <c r="C482" s="10">
        <v>2614.9</v>
      </c>
    </row>
    <row r="483" spans="1:3" x14ac:dyDescent="0.25">
      <c r="A483" s="10" t="s">
        <v>141</v>
      </c>
      <c r="B483" s="10">
        <v>272750</v>
      </c>
      <c r="C483" s="10">
        <v>2624</v>
      </c>
    </row>
    <row r="484" spans="1:3" x14ac:dyDescent="0.25">
      <c r="A484" s="10" t="s">
        <v>141</v>
      </c>
      <c r="B484" s="10">
        <v>273000</v>
      </c>
      <c r="C484" s="10">
        <v>2633</v>
      </c>
    </row>
    <row r="485" spans="1:3" x14ac:dyDescent="0.25">
      <c r="A485" s="10" t="s">
        <v>141</v>
      </c>
      <c r="B485" s="10">
        <v>273250</v>
      </c>
      <c r="C485" s="10">
        <v>2644.6</v>
      </c>
    </row>
    <row r="486" spans="1:3" x14ac:dyDescent="0.25">
      <c r="A486" s="10" t="s">
        <v>141</v>
      </c>
      <c r="B486" s="10">
        <v>273500</v>
      </c>
      <c r="C486" s="10">
        <v>2657.6</v>
      </c>
    </row>
    <row r="487" spans="1:3" x14ac:dyDescent="0.25">
      <c r="A487" s="10" t="s">
        <v>141</v>
      </c>
      <c r="B487" s="10">
        <v>273750</v>
      </c>
      <c r="C487" s="10">
        <v>2670.5</v>
      </c>
    </row>
    <row r="488" spans="1:3" x14ac:dyDescent="0.25">
      <c r="A488" s="10" t="s">
        <v>141</v>
      </c>
      <c r="B488" s="10">
        <v>274000</v>
      </c>
      <c r="C488" s="10">
        <v>2682.1</v>
      </c>
    </row>
    <row r="489" spans="1:3" x14ac:dyDescent="0.25">
      <c r="A489" s="10" t="s">
        <v>141</v>
      </c>
      <c r="B489" s="10">
        <v>274250</v>
      </c>
      <c r="C489" s="10">
        <v>2692.4</v>
      </c>
    </row>
    <row r="490" spans="1:3" x14ac:dyDescent="0.25">
      <c r="A490" s="10" t="s">
        <v>141</v>
      </c>
      <c r="B490" s="10">
        <v>274500</v>
      </c>
      <c r="C490" s="10">
        <v>2701.5</v>
      </c>
    </row>
    <row r="491" spans="1:3" x14ac:dyDescent="0.25">
      <c r="A491" s="10" t="s">
        <v>141</v>
      </c>
      <c r="B491" s="10">
        <v>274750</v>
      </c>
      <c r="C491" s="10">
        <v>2710.5</v>
      </c>
    </row>
    <row r="492" spans="1:3" x14ac:dyDescent="0.25">
      <c r="A492" s="10" t="s">
        <v>141</v>
      </c>
      <c r="B492" s="10">
        <v>275000</v>
      </c>
      <c r="C492" s="10">
        <v>2718.3</v>
      </c>
    </row>
    <row r="493" spans="1:3" x14ac:dyDescent="0.25">
      <c r="A493" t="s">
        <v>140</v>
      </c>
      <c r="B493" s="10">
        <v>45500</v>
      </c>
      <c r="C493" s="10">
        <v>951.98349529999996</v>
      </c>
    </row>
    <row r="494" spans="1:3" x14ac:dyDescent="0.25">
      <c r="A494" s="10" t="s">
        <v>140</v>
      </c>
      <c r="B494" s="10">
        <v>45750</v>
      </c>
      <c r="C494" s="10">
        <v>953.73052529999995</v>
      </c>
    </row>
    <row r="495" spans="1:3" x14ac:dyDescent="0.25">
      <c r="A495" s="10" t="s">
        <v>140</v>
      </c>
      <c r="B495" s="10">
        <v>46000</v>
      </c>
      <c r="C495" s="10">
        <v>955.47755540000003</v>
      </c>
    </row>
    <row r="496" spans="1:3" x14ac:dyDescent="0.25">
      <c r="A496" s="10" t="s">
        <v>140</v>
      </c>
      <c r="B496" s="10">
        <v>46250</v>
      </c>
      <c r="C496" s="10">
        <v>958.32789649999995</v>
      </c>
    </row>
    <row r="497" spans="1:3" x14ac:dyDescent="0.25">
      <c r="A497" s="10" t="s">
        <v>140</v>
      </c>
      <c r="B497" s="10">
        <v>46500</v>
      </c>
      <c r="C497" s="10">
        <v>958.32789649999995</v>
      </c>
    </row>
    <row r="498" spans="1:3" x14ac:dyDescent="0.25">
      <c r="A498" s="10" t="s">
        <v>140</v>
      </c>
      <c r="B498" s="10">
        <v>46750</v>
      </c>
      <c r="C498" s="10">
        <v>960.07492660000003</v>
      </c>
    </row>
    <row r="499" spans="1:3" x14ac:dyDescent="0.25">
      <c r="A499" s="10" t="s">
        <v>140</v>
      </c>
      <c r="B499" s="10">
        <v>47000</v>
      </c>
      <c r="C499" s="10">
        <v>961.60738360000005</v>
      </c>
    </row>
    <row r="500" spans="1:3" x14ac:dyDescent="0.25">
      <c r="A500" s="10" t="s">
        <v>140</v>
      </c>
      <c r="B500" s="10">
        <v>47250</v>
      </c>
      <c r="C500" s="10">
        <v>963.13984070000004</v>
      </c>
    </row>
    <row r="501" spans="1:3" x14ac:dyDescent="0.25">
      <c r="A501" s="10" t="s">
        <v>140</v>
      </c>
      <c r="B501" s="10">
        <v>47500</v>
      </c>
      <c r="C501" s="10">
        <v>964.02857879999999</v>
      </c>
    </row>
    <row r="502" spans="1:3" x14ac:dyDescent="0.25">
      <c r="A502" s="10" t="s">
        <v>140</v>
      </c>
      <c r="B502" s="10">
        <v>47750</v>
      </c>
      <c r="C502" s="10">
        <v>964.02857879999999</v>
      </c>
    </row>
    <row r="503" spans="1:3" x14ac:dyDescent="0.25">
      <c r="A503" s="10" t="s">
        <v>140</v>
      </c>
      <c r="B503" s="10">
        <v>48000</v>
      </c>
      <c r="C503" s="10">
        <v>965.31601669999998</v>
      </c>
    </row>
    <row r="504" spans="1:3" x14ac:dyDescent="0.25">
      <c r="A504" s="10" t="s">
        <v>140</v>
      </c>
      <c r="B504" s="10">
        <v>48250</v>
      </c>
      <c r="C504" s="10">
        <v>965.31601669999998</v>
      </c>
    </row>
    <row r="505" spans="1:3" x14ac:dyDescent="0.25">
      <c r="A505" s="10" t="s">
        <v>140</v>
      </c>
      <c r="B505" s="10">
        <v>48500</v>
      </c>
      <c r="C505" s="10">
        <v>967.3385121</v>
      </c>
    </row>
    <row r="506" spans="1:3" x14ac:dyDescent="0.25">
      <c r="A506" s="10" t="s">
        <v>140</v>
      </c>
      <c r="B506" s="10">
        <v>48750</v>
      </c>
      <c r="C506" s="10">
        <v>967.55308509999998</v>
      </c>
    </row>
    <row r="507" spans="1:3" x14ac:dyDescent="0.25">
      <c r="A507" s="10" t="s">
        <v>140</v>
      </c>
      <c r="B507" s="10">
        <v>49000</v>
      </c>
      <c r="C507" s="10">
        <v>968.38093079999999</v>
      </c>
    </row>
    <row r="508" spans="1:3" x14ac:dyDescent="0.25">
      <c r="A508" s="10" t="s">
        <v>140</v>
      </c>
      <c r="B508" s="10">
        <v>49250</v>
      </c>
      <c r="C508" s="10">
        <v>968.38093079999999</v>
      </c>
    </row>
    <row r="509" spans="1:3" x14ac:dyDescent="0.25">
      <c r="A509" s="10" t="s">
        <v>140</v>
      </c>
      <c r="B509" s="10">
        <v>49500</v>
      </c>
      <c r="C509" s="10">
        <v>971.44584499999996</v>
      </c>
    </row>
    <row r="510" spans="1:3" x14ac:dyDescent="0.25">
      <c r="A510" s="10" t="s">
        <v>140</v>
      </c>
      <c r="B510" s="10">
        <v>49750</v>
      </c>
      <c r="C510" s="10">
        <v>972.97830199999999</v>
      </c>
    </row>
    <row r="511" spans="1:3" x14ac:dyDescent="0.25">
      <c r="A511" s="10" t="s">
        <v>140</v>
      </c>
      <c r="B511" s="10">
        <v>50000</v>
      </c>
      <c r="C511" s="10">
        <v>974.51075909999997</v>
      </c>
    </row>
    <row r="512" spans="1:3" x14ac:dyDescent="0.25">
      <c r="A512" s="10" t="s">
        <v>140</v>
      </c>
      <c r="B512" s="10">
        <v>50250</v>
      </c>
      <c r="C512" s="10">
        <v>982.17304439999998</v>
      </c>
    </row>
    <row r="513" spans="1:3" x14ac:dyDescent="0.25">
      <c r="A513" s="10" t="s">
        <v>140</v>
      </c>
      <c r="B513" s="10">
        <v>50500</v>
      </c>
      <c r="C513" s="10">
        <v>988.30287269999997</v>
      </c>
    </row>
    <row r="514" spans="1:3" x14ac:dyDescent="0.25">
      <c r="A514" s="10" t="s">
        <v>140</v>
      </c>
      <c r="B514" s="10">
        <v>50750</v>
      </c>
      <c r="C514" s="10">
        <v>994.43270089999999</v>
      </c>
    </row>
    <row r="515" spans="1:3" x14ac:dyDescent="0.25">
      <c r="A515" s="10" t="s">
        <v>140</v>
      </c>
      <c r="B515" s="10">
        <v>51000</v>
      </c>
      <c r="C515" s="10">
        <v>999.03007209999998</v>
      </c>
    </row>
    <row r="516" spans="1:3" x14ac:dyDescent="0.25">
      <c r="A516" s="10" t="s">
        <v>140</v>
      </c>
      <c r="B516" s="10">
        <v>51250</v>
      </c>
      <c r="C516" s="10">
        <v>1005.1599</v>
      </c>
    </row>
    <row r="517" spans="1:3" x14ac:dyDescent="0.25">
      <c r="A517" s="10" t="s">
        <v>140</v>
      </c>
      <c r="B517" s="10">
        <v>51500</v>
      </c>
      <c r="C517" s="10">
        <v>1011.289729</v>
      </c>
    </row>
    <row r="518" spans="1:3" x14ac:dyDescent="0.25">
      <c r="A518" s="10" t="s">
        <v>140</v>
      </c>
      <c r="B518" s="10">
        <v>51750</v>
      </c>
      <c r="C518" s="10">
        <v>1017.4195570000001</v>
      </c>
    </row>
    <row r="519" spans="1:3" x14ac:dyDescent="0.25">
      <c r="A519" s="10" t="s">
        <v>140</v>
      </c>
      <c r="B519" s="10">
        <v>52000</v>
      </c>
      <c r="C519" s="10">
        <v>1025.0818420000001</v>
      </c>
    </row>
    <row r="520" spans="1:3" x14ac:dyDescent="0.25">
      <c r="A520" s="10" t="s">
        <v>140</v>
      </c>
      <c r="B520" s="10">
        <v>52250</v>
      </c>
      <c r="C520" s="10">
        <v>1031.2116699999999</v>
      </c>
    </row>
    <row r="521" spans="1:3" x14ac:dyDescent="0.25">
      <c r="A521" s="10" t="s">
        <v>140</v>
      </c>
      <c r="B521" s="10">
        <v>52500</v>
      </c>
      <c r="C521" s="10">
        <v>1037.3414990000001</v>
      </c>
    </row>
    <row r="522" spans="1:3" x14ac:dyDescent="0.25">
      <c r="A522" s="10" t="s">
        <v>140</v>
      </c>
      <c r="B522" s="10">
        <v>52750</v>
      </c>
      <c r="C522" s="10">
        <v>1045.003784</v>
      </c>
    </row>
    <row r="523" spans="1:3" x14ac:dyDescent="0.25">
      <c r="A523" s="10" t="s">
        <v>140</v>
      </c>
      <c r="B523" s="10">
        <v>53000</v>
      </c>
      <c r="C523" s="10">
        <v>1051.1336120000001</v>
      </c>
    </row>
    <row r="524" spans="1:3" x14ac:dyDescent="0.25">
      <c r="A524" s="10" t="s">
        <v>140</v>
      </c>
      <c r="B524" s="10">
        <v>53250</v>
      </c>
      <c r="C524" s="10">
        <v>1055.7309829999999</v>
      </c>
    </row>
    <row r="525" spans="1:3" x14ac:dyDescent="0.25">
      <c r="A525" s="10" t="s">
        <v>140</v>
      </c>
      <c r="B525" s="10">
        <v>53500</v>
      </c>
      <c r="C525" s="10">
        <v>1063.3932689999999</v>
      </c>
    </row>
    <row r="526" spans="1:3" x14ac:dyDescent="0.25">
      <c r="A526" s="10" t="s">
        <v>140</v>
      </c>
      <c r="B526" s="10">
        <v>53750</v>
      </c>
      <c r="C526" s="10">
        <v>1071.055554</v>
      </c>
    </row>
    <row r="527" spans="1:3" x14ac:dyDescent="0.25">
      <c r="A527" s="10" t="s">
        <v>140</v>
      </c>
      <c r="B527" s="10">
        <v>54000</v>
      </c>
      <c r="C527" s="10">
        <v>1077.1853819999999</v>
      </c>
    </row>
    <row r="528" spans="1:3" x14ac:dyDescent="0.25">
      <c r="A528" s="10" t="s">
        <v>140</v>
      </c>
      <c r="B528" s="10">
        <v>54250</v>
      </c>
      <c r="C528" s="10">
        <v>1083.3152110000001</v>
      </c>
    </row>
    <row r="529" spans="1:3" x14ac:dyDescent="0.25">
      <c r="A529" s="10" t="s">
        <v>140</v>
      </c>
      <c r="B529" s="10">
        <v>54500</v>
      </c>
      <c r="C529" s="10">
        <v>1090.977496</v>
      </c>
    </row>
    <row r="530" spans="1:3" x14ac:dyDescent="0.25">
      <c r="A530" s="10" t="s">
        <v>140</v>
      </c>
      <c r="B530" s="10">
        <v>54750</v>
      </c>
      <c r="C530" s="10">
        <v>1098.6397810000001</v>
      </c>
    </row>
    <row r="531" spans="1:3" x14ac:dyDescent="0.25">
      <c r="A531" s="10" t="s">
        <v>140</v>
      </c>
      <c r="B531" s="10">
        <v>55000</v>
      </c>
      <c r="C531" s="10">
        <v>1103.2371519999999</v>
      </c>
    </row>
    <row r="532" spans="1:3" x14ac:dyDescent="0.25">
      <c r="A532" s="10" t="s">
        <v>140</v>
      </c>
      <c r="B532" s="10">
        <v>55250</v>
      </c>
      <c r="C532" s="10">
        <v>1109.4278730000001</v>
      </c>
    </row>
    <row r="533" spans="1:3" x14ac:dyDescent="0.25">
      <c r="A533" s="10" t="s">
        <v>140</v>
      </c>
      <c r="B533" s="10">
        <v>55500</v>
      </c>
      <c r="C533" s="10">
        <v>1116.814693</v>
      </c>
    </row>
    <row r="534" spans="1:3" x14ac:dyDescent="0.25">
      <c r="A534" s="10" t="s">
        <v>140</v>
      </c>
      <c r="B534" s="10">
        <v>55750</v>
      </c>
      <c r="C534" s="10">
        <v>1125.151143</v>
      </c>
    </row>
    <row r="535" spans="1:3" x14ac:dyDescent="0.25">
      <c r="A535" s="10" t="s">
        <v>140</v>
      </c>
      <c r="B535" s="10">
        <v>56000</v>
      </c>
      <c r="C535" s="10">
        <v>1132.5988560000001</v>
      </c>
    </row>
    <row r="536" spans="1:3" x14ac:dyDescent="0.25">
      <c r="A536" s="10" t="s">
        <v>140</v>
      </c>
      <c r="B536" s="10">
        <v>56250</v>
      </c>
      <c r="C536" s="10">
        <v>1139.617422</v>
      </c>
    </row>
    <row r="537" spans="1:3" x14ac:dyDescent="0.25">
      <c r="A537" s="10" t="s">
        <v>140</v>
      </c>
      <c r="B537" s="10">
        <v>56500</v>
      </c>
      <c r="C537" s="10">
        <v>1146.1459500000001</v>
      </c>
    </row>
    <row r="538" spans="1:3" x14ac:dyDescent="0.25">
      <c r="A538" s="10" t="s">
        <v>140</v>
      </c>
      <c r="B538" s="10">
        <v>56750</v>
      </c>
      <c r="C538" s="10">
        <v>1155.3406930000001</v>
      </c>
    </row>
    <row r="539" spans="1:3" x14ac:dyDescent="0.25">
      <c r="A539" s="10" t="s">
        <v>140</v>
      </c>
      <c r="B539" s="10">
        <v>57000</v>
      </c>
      <c r="C539" s="10">
        <v>1161.9301129999999</v>
      </c>
    </row>
    <row r="540" spans="1:3" x14ac:dyDescent="0.25">
      <c r="A540" s="10" t="s">
        <v>140</v>
      </c>
      <c r="B540" s="10">
        <v>57250</v>
      </c>
      <c r="C540" s="10">
        <v>1170.2361169999999</v>
      </c>
    </row>
    <row r="541" spans="1:3" x14ac:dyDescent="0.25">
      <c r="A541" s="10" t="s">
        <v>140</v>
      </c>
      <c r="B541" s="10">
        <v>57500</v>
      </c>
      <c r="C541" s="10">
        <v>1177.469257</v>
      </c>
    </row>
    <row r="542" spans="1:3" x14ac:dyDescent="0.25">
      <c r="A542" s="10" t="s">
        <v>140</v>
      </c>
      <c r="B542" s="10">
        <v>57750</v>
      </c>
      <c r="C542" s="10">
        <v>1187.522291</v>
      </c>
    </row>
    <row r="543" spans="1:3" x14ac:dyDescent="0.25">
      <c r="A543" s="10" t="s">
        <v>140</v>
      </c>
      <c r="B543" s="10">
        <v>58000</v>
      </c>
      <c r="C543" s="10">
        <v>1192.1196620000001</v>
      </c>
    </row>
    <row r="544" spans="1:3" x14ac:dyDescent="0.25">
      <c r="A544" s="10" t="s">
        <v>140</v>
      </c>
      <c r="B544" s="10">
        <v>58250</v>
      </c>
      <c r="C544" s="10">
        <v>1199.7819469999999</v>
      </c>
    </row>
    <row r="545" spans="1:3" x14ac:dyDescent="0.25">
      <c r="A545" s="10" t="s">
        <v>140</v>
      </c>
      <c r="B545" s="10">
        <v>58500</v>
      </c>
      <c r="C545" s="10">
        <v>1208.547544</v>
      </c>
    </row>
    <row r="546" spans="1:3" x14ac:dyDescent="0.25">
      <c r="A546" s="10" t="s">
        <v>140</v>
      </c>
      <c r="B546" s="10">
        <v>58750</v>
      </c>
      <c r="C546" s="10">
        <v>1215.1065180000001</v>
      </c>
    </row>
    <row r="547" spans="1:3" x14ac:dyDescent="0.25">
      <c r="A547" s="10" t="s">
        <v>140</v>
      </c>
      <c r="B547" s="10">
        <v>59000</v>
      </c>
      <c r="C547" s="10">
        <v>1222.7688029999999</v>
      </c>
    </row>
    <row r="548" spans="1:3" x14ac:dyDescent="0.25">
      <c r="A548" s="10" t="s">
        <v>140</v>
      </c>
      <c r="B548" s="10">
        <v>59250</v>
      </c>
      <c r="C548" s="10">
        <v>1231.0748080000001</v>
      </c>
    </row>
    <row r="549" spans="1:3" x14ac:dyDescent="0.25">
      <c r="A549" s="10" t="s">
        <v>140</v>
      </c>
      <c r="B549" s="10">
        <v>59500</v>
      </c>
      <c r="C549" s="10">
        <v>1239.1662389999999</v>
      </c>
    </row>
    <row r="550" spans="1:3" x14ac:dyDescent="0.25">
      <c r="A550" s="10" t="s">
        <v>140</v>
      </c>
      <c r="B550" s="10">
        <v>59750</v>
      </c>
      <c r="C550" s="10">
        <v>1245.7252129999999</v>
      </c>
    </row>
    <row r="551" spans="1:3" x14ac:dyDescent="0.25">
      <c r="A551" s="10" t="s">
        <v>140</v>
      </c>
      <c r="B551" s="10">
        <v>60000</v>
      </c>
      <c r="C551" s="10">
        <v>1253.4179449999999</v>
      </c>
    </row>
    <row r="552" spans="1:3" x14ac:dyDescent="0.25">
      <c r="A552" s="10" t="s">
        <v>140</v>
      </c>
      <c r="B552" s="10">
        <v>60250</v>
      </c>
      <c r="C552" s="10">
        <v>1261.08023</v>
      </c>
    </row>
    <row r="553" spans="1:3" x14ac:dyDescent="0.25">
      <c r="A553" s="10" t="s">
        <v>140</v>
      </c>
      <c r="B553" s="10">
        <v>60500</v>
      </c>
      <c r="C553" s="10">
        <v>1270.2749719999999</v>
      </c>
    </row>
    <row r="554" spans="1:3" x14ac:dyDescent="0.25">
      <c r="A554" s="10" t="s">
        <v>140</v>
      </c>
      <c r="B554" s="10">
        <v>60750</v>
      </c>
      <c r="C554" s="10">
        <v>1279.469715</v>
      </c>
    </row>
    <row r="555" spans="1:3" x14ac:dyDescent="0.25">
      <c r="A555" s="10" t="s">
        <v>140</v>
      </c>
      <c r="B555" s="10">
        <v>61000</v>
      </c>
      <c r="C555" s="10">
        <v>1288.6644570000001</v>
      </c>
    </row>
    <row r="556" spans="1:3" x14ac:dyDescent="0.25">
      <c r="A556" s="10" t="s">
        <v>140</v>
      </c>
      <c r="B556" s="10">
        <v>61250</v>
      </c>
      <c r="C556" s="10">
        <v>1296.326742</v>
      </c>
    </row>
    <row r="557" spans="1:3" x14ac:dyDescent="0.25">
      <c r="A557" s="10" t="s">
        <v>140</v>
      </c>
      <c r="B557" s="10">
        <v>61500</v>
      </c>
      <c r="C557" s="10">
        <v>1303.989028</v>
      </c>
    </row>
    <row r="558" spans="1:3" x14ac:dyDescent="0.25">
      <c r="A558" s="10" t="s">
        <v>140</v>
      </c>
      <c r="B558" s="10">
        <v>61750</v>
      </c>
      <c r="C558" s="10">
        <v>1311.6513130000001</v>
      </c>
    </row>
    <row r="559" spans="1:3" x14ac:dyDescent="0.25">
      <c r="A559" s="10" t="s">
        <v>140</v>
      </c>
      <c r="B559" s="10">
        <v>62000</v>
      </c>
      <c r="C559" s="10">
        <v>1320.846055</v>
      </c>
    </row>
    <row r="560" spans="1:3" x14ac:dyDescent="0.25">
      <c r="A560" s="10" t="s">
        <v>140</v>
      </c>
      <c r="B560" s="10">
        <v>62250</v>
      </c>
      <c r="C560" s="10">
        <v>1330.040798</v>
      </c>
    </row>
    <row r="561" spans="1:3" x14ac:dyDescent="0.25">
      <c r="A561" s="10" t="s">
        <v>140</v>
      </c>
      <c r="B561" s="10">
        <v>62500</v>
      </c>
      <c r="C561" s="10">
        <v>1337.7030830000001</v>
      </c>
    </row>
    <row r="562" spans="1:3" x14ac:dyDescent="0.25">
      <c r="A562" s="10" t="s">
        <v>140</v>
      </c>
      <c r="B562" s="10">
        <v>62750</v>
      </c>
      <c r="C562" s="10">
        <v>1348.4302829999999</v>
      </c>
    </row>
    <row r="563" spans="1:3" x14ac:dyDescent="0.25">
      <c r="A563" s="10" t="s">
        <v>140</v>
      </c>
      <c r="B563" s="10">
        <v>63000</v>
      </c>
      <c r="C563" s="10">
        <v>1357.6250250000001</v>
      </c>
    </row>
    <row r="564" spans="1:3" x14ac:dyDescent="0.25">
      <c r="A564" s="10" t="s">
        <v>140</v>
      </c>
      <c r="B564" s="10">
        <v>63250</v>
      </c>
      <c r="C564" s="10">
        <v>1365.2873099999999</v>
      </c>
    </row>
    <row r="565" spans="1:3" x14ac:dyDescent="0.25">
      <c r="A565" s="10" t="s">
        <v>140</v>
      </c>
      <c r="B565" s="10">
        <v>63500</v>
      </c>
      <c r="C565" s="10">
        <v>1376.6886750000001</v>
      </c>
    </row>
    <row r="566" spans="1:3" x14ac:dyDescent="0.25">
      <c r="A566" s="10" t="s">
        <v>140</v>
      </c>
      <c r="B566" s="10">
        <v>63750</v>
      </c>
      <c r="C566" s="10">
        <v>1385.2092520000001</v>
      </c>
    </row>
    <row r="567" spans="1:3" x14ac:dyDescent="0.25">
      <c r="A567" s="10" t="s">
        <v>140</v>
      </c>
      <c r="B567" s="10">
        <v>64000</v>
      </c>
      <c r="C567" s="10">
        <v>1394.4039949999999</v>
      </c>
    </row>
    <row r="568" spans="1:3" x14ac:dyDescent="0.25">
      <c r="A568" s="10" t="s">
        <v>140</v>
      </c>
      <c r="B568" s="10">
        <v>64250</v>
      </c>
      <c r="C568" s="10">
        <v>1403.598737</v>
      </c>
    </row>
    <row r="569" spans="1:3" x14ac:dyDescent="0.25">
      <c r="A569" s="10" t="s">
        <v>140</v>
      </c>
      <c r="B569" s="10">
        <v>64500</v>
      </c>
      <c r="C569" s="10">
        <v>1411.2610219999999</v>
      </c>
    </row>
    <row r="570" spans="1:3" x14ac:dyDescent="0.25">
      <c r="A570" s="10" t="s">
        <v>140</v>
      </c>
      <c r="B570" s="10">
        <v>64750</v>
      </c>
      <c r="C570" s="10">
        <v>1423.520679</v>
      </c>
    </row>
    <row r="571" spans="1:3" x14ac:dyDescent="0.25">
      <c r="A571" s="10" t="s">
        <v>140</v>
      </c>
      <c r="B571" s="10">
        <v>65000</v>
      </c>
      <c r="C571" s="10">
        <v>1432.7154210000001</v>
      </c>
    </row>
    <row r="572" spans="1:3" x14ac:dyDescent="0.25">
      <c r="A572" s="10" t="s">
        <v>140</v>
      </c>
      <c r="B572" s="10">
        <v>65250</v>
      </c>
      <c r="C572" s="10">
        <v>1443.4426209999999</v>
      </c>
    </row>
    <row r="573" spans="1:3" x14ac:dyDescent="0.25">
      <c r="A573" s="10" t="s">
        <v>140</v>
      </c>
      <c r="B573" s="10">
        <v>65500</v>
      </c>
      <c r="C573" s="10">
        <v>1451.104906</v>
      </c>
    </row>
    <row r="574" spans="1:3" x14ac:dyDescent="0.25">
      <c r="A574" s="10" t="s">
        <v>140</v>
      </c>
      <c r="B574" s="10">
        <v>65750</v>
      </c>
      <c r="C574" s="10">
        <v>1461.832105</v>
      </c>
    </row>
    <row r="575" spans="1:3" x14ac:dyDescent="0.25">
      <c r="A575" s="10" t="s">
        <v>140</v>
      </c>
      <c r="B575" s="10">
        <v>66000</v>
      </c>
      <c r="C575" s="10">
        <v>1474.091762</v>
      </c>
    </row>
    <row r="576" spans="1:3" x14ac:dyDescent="0.25">
      <c r="A576" s="10" t="s">
        <v>140</v>
      </c>
      <c r="B576" s="10">
        <v>66250</v>
      </c>
      <c r="C576" s="10">
        <v>1484.2056889999999</v>
      </c>
    </row>
    <row r="577" spans="1:3" x14ac:dyDescent="0.25">
      <c r="A577" s="10" t="s">
        <v>140</v>
      </c>
      <c r="B577" s="10">
        <v>66500</v>
      </c>
      <c r="C577" s="10">
        <v>1494.0441499999999</v>
      </c>
    </row>
    <row r="578" spans="1:3" x14ac:dyDescent="0.25">
      <c r="A578" s="10" t="s">
        <v>140</v>
      </c>
      <c r="B578" s="10">
        <v>66750</v>
      </c>
      <c r="C578" s="10">
        <v>1502.8097459999999</v>
      </c>
    </row>
    <row r="579" spans="1:3" x14ac:dyDescent="0.25">
      <c r="A579" s="10" t="s">
        <v>140</v>
      </c>
      <c r="B579" s="10">
        <v>67000</v>
      </c>
      <c r="C579" s="10">
        <v>1512.4336350000001</v>
      </c>
    </row>
    <row r="580" spans="1:3" x14ac:dyDescent="0.25">
      <c r="A580" s="10" t="s">
        <v>140</v>
      </c>
      <c r="B580" s="10">
        <v>67250</v>
      </c>
      <c r="C580" s="10">
        <v>1522.9158150000001</v>
      </c>
    </row>
    <row r="581" spans="1:3" x14ac:dyDescent="0.25">
      <c r="A581" s="10" t="s">
        <v>140</v>
      </c>
      <c r="B581" s="10">
        <v>67500</v>
      </c>
      <c r="C581" s="10">
        <v>1533.213868</v>
      </c>
    </row>
    <row r="582" spans="1:3" x14ac:dyDescent="0.25">
      <c r="A582" s="10" t="s">
        <v>140</v>
      </c>
      <c r="B582" s="10">
        <v>67750</v>
      </c>
      <c r="C582" s="10">
        <v>1545.4430789999999</v>
      </c>
    </row>
    <row r="583" spans="1:3" x14ac:dyDescent="0.25">
      <c r="A583" s="10" t="s">
        <v>140</v>
      </c>
      <c r="B583" s="10">
        <v>68000</v>
      </c>
      <c r="C583" s="10">
        <v>1555.4961129999999</v>
      </c>
    </row>
    <row r="584" spans="1:3" x14ac:dyDescent="0.25">
      <c r="A584" s="10" t="s">
        <v>140</v>
      </c>
      <c r="B584" s="10">
        <v>68250</v>
      </c>
      <c r="C584" s="10">
        <v>1566.867031</v>
      </c>
    </row>
    <row r="585" spans="1:3" x14ac:dyDescent="0.25">
      <c r="A585" s="10" t="s">
        <v>140</v>
      </c>
      <c r="B585" s="10">
        <v>68500</v>
      </c>
      <c r="C585" s="10">
        <v>1578.2988419999999</v>
      </c>
    </row>
    <row r="586" spans="1:3" x14ac:dyDescent="0.25">
      <c r="A586" s="10" t="s">
        <v>140</v>
      </c>
      <c r="B586" s="10">
        <v>68750</v>
      </c>
      <c r="C586" s="10">
        <v>1589.026042</v>
      </c>
    </row>
    <row r="587" spans="1:3" x14ac:dyDescent="0.25">
      <c r="A587" s="10" t="s">
        <v>140</v>
      </c>
      <c r="B587" s="10">
        <v>69000</v>
      </c>
      <c r="C587" s="10">
        <v>1601.2856979999999</v>
      </c>
    </row>
    <row r="588" spans="1:3" x14ac:dyDescent="0.25">
      <c r="A588" s="10" t="s">
        <v>140</v>
      </c>
      <c r="B588" s="10">
        <v>69250</v>
      </c>
      <c r="C588" s="10">
        <v>1613.545355</v>
      </c>
    </row>
    <row r="589" spans="1:3" x14ac:dyDescent="0.25">
      <c r="A589" s="10" t="s">
        <v>140</v>
      </c>
      <c r="B589" s="10">
        <v>69500</v>
      </c>
      <c r="C589" s="10">
        <v>1624.2725539999999</v>
      </c>
    </row>
    <row r="590" spans="1:3" x14ac:dyDescent="0.25">
      <c r="A590" s="10" t="s">
        <v>140</v>
      </c>
      <c r="B590" s="10">
        <v>69750</v>
      </c>
      <c r="C590" s="10">
        <v>1633.467296</v>
      </c>
    </row>
    <row r="591" spans="1:3" x14ac:dyDescent="0.25">
      <c r="A591" s="10" t="s">
        <v>140</v>
      </c>
      <c r="B591" s="10">
        <v>70000</v>
      </c>
      <c r="C591" s="10">
        <v>1645.7269530000001</v>
      </c>
    </row>
    <row r="592" spans="1:3" x14ac:dyDescent="0.25">
      <c r="A592" s="10" t="s">
        <v>140</v>
      </c>
      <c r="B592" s="10">
        <v>70250</v>
      </c>
      <c r="C592" s="10">
        <v>1657.986609</v>
      </c>
    </row>
    <row r="593" spans="1:3" x14ac:dyDescent="0.25">
      <c r="A593" s="10" t="s">
        <v>140</v>
      </c>
      <c r="B593" s="10">
        <v>70500</v>
      </c>
      <c r="C593" s="10">
        <v>1670.2462660000001</v>
      </c>
    </row>
    <row r="594" spans="1:3" x14ac:dyDescent="0.25">
      <c r="A594" s="10" t="s">
        <v>140</v>
      </c>
      <c r="B594" s="10">
        <v>70750</v>
      </c>
      <c r="C594" s="10">
        <v>1680.973465</v>
      </c>
    </row>
    <row r="595" spans="1:3" x14ac:dyDescent="0.25">
      <c r="A595" s="10" t="s">
        <v>140</v>
      </c>
      <c r="B595" s="10">
        <v>71000</v>
      </c>
      <c r="C595" s="10">
        <v>1694.7655789999999</v>
      </c>
    </row>
    <row r="596" spans="1:3" x14ac:dyDescent="0.25">
      <c r="A596" s="10" t="s">
        <v>140</v>
      </c>
      <c r="B596" s="10">
        <v>71250</v>
      </c>
      <c r="C596" s="10">
        <v>1703.960321</v>
      </c>
    </row>
    <row r="597" spans="1:3" x14ac:dyDescent="0.25">
      <c r="A597" s="10" t="s">
        <v>140</v>
      </c>
      <c r="B597" s="10">
        <v>71500</v>
      </c>
      <c r="C597" s="10">
        <v>1716.2199780000001</v>
      </c>
    </row>
    <row r="598" spans="1:3" x14ac:dyDescent="0.25">
      <c r="A598" s="10" t="s">
        <v>140</v>
      </c>
      <c r="B598" s="10">
        <v>71750</v>
      </c>
      <c r="C598" s="10">
        <v>1726.947177</v>
      </c>
    </row>
    <row r="599" spans="1:3" x14ac:dyDescent="0.25">
      <c r="A599" s="10" t="s">
        <v>140</v>
      </c>
      <c r="B599" s="10">
        <v>72000</v>
      </c>
      <c r="C599" s="10">
        <v>1740.7392910000001</v>
      </c>
    </row>
    <row r="600" spans="1:3" x14ac:dyDescent="0.25">
      <c r="A600" s="10" t="s">
        <v>140</v>
      </c>
      <c r="B600" s="10">
        <v>72250</v>
      </c>
      <c r="C600" s="10">
        <v>1752.998947</v>
      </c>
    </row>
    <row r="601" spans="1:3" x14ac:dyDescent="0.25">
      <c r="A601" s="10" t="s">
        <v>140</v>
      </c>
      <c r="B601" s="10">
        <v>72500</v>
      </c>
      <c r="C601" s="10">
        <v>1763.7261470000001</v>
      </c>
    </row>
    <row r="602" spans="1:3" x14ac:dyDescent="0.25">
      <c r="A602" s="10" t="s">
        <v>140</v>
      </c>
      <c r="B602" s="10">
        <v>72750</v>
      </c>
      <c r="C602" s="10">
        <v>1775.985803</v>
      </c>
    </row>
    <row r="603" spans="1:3" x14ac:dyDescent="0.25">
      <c r="A603" s="10" t="s">
        <v>140</v>
      </c>
      <c r="B603" s="10">
        <v>73000</v>
      </c>
      <c r="C603" s="10">
        <v>1789.7779169999999</v>
      </c>
    </row>
    <row r="604" spans="1:3" x14ac:dyDescent="0.25">
      <c r="A604" s="10" t="s">
        <v>140</v>
      </c>
      <c r="B604" s="10">
        <v>73250</v>
      </c>
      <c r="C604" s="10">
        <v>1802.0375730000001</v>
      </c>
    </row>
    <row r="605" spans="1:3" x14ac:dyDescent="0.25">
      <c r="A605" s="10" t="s">
        <v>140</v>
      </c>
      <c r="B605" s="10">
        <v>73500</v>
      </c>
      <c r="C605" s="10">
        <v>1817.3621439999999</v>
      </c>
    </row>
    <row r="606" spans="1:3" x14ac:dyDescent="0.25">
      <c r="A606" s="10" t="s">
        <v>140</v>
      </c>
      <c r="B606" s="10">
        <v>73750</v>
      </c>
      <c r="C606" s="10">
        <v>1825.0244290000001</v>
      </c>
    </row>
    <row r="607" spans="1:3" x14ac:dyDescent="0.25">
      <c r="A607" s="10" t="s">
        <v>140</v>
      </c>
      <c r="B607" s="10">
        <v>74000</v>
      </c>
      <c r="C607" s="10">
        <v>1838.8165429999999</v>
      </c>
    </row>
    <row r="608" spans="1:3" x14ac:dyDescent="0.25">
      <c r="A608" s="10" t="s">
        <v>140</v>
      </c>
      <c r="B608" s="10">
        <v>74250</v>
      </c>
      <c r="C608" s="10">
        <v>1852.149064</v>
      </c>
    </row>
    <row r="609" spans="1:3" x14ac:dyDescent="0.25">
      <c r="A609" s="10" t="s">
        <v>140</v>
      </c>
      <c r="B609" s="10">
        <v>74500</v>
      </c>
      <c r="C609" s="10">
        <v>1864.8683129999999</v>
      </c>
    </row>
    <row r="610" spans="1:3" x14ac:dyDescent="0.25">
      <c r="A610" s="10" t="s">
        <v>140</v>
      </c>
      <c r="B610" s="10">
        <v>74750</v>
      </c>
      <c r="C610" s="10">
        <v>1880.192884</v>
      </c>
    </row>
    <row r="611" spans="1:3" x14ac:dyDescent="0.25">
      <c r="A611" s="10" t="s">
        <v>140</v>
      </c>
      <c r="B611" s="10">
        <v>75000</v>
      </c>
      <c r="C611" s="10">
        <v>1890.920083</v>
      </c>
    </row>
    <row r="612" spans="1:3" x14ac:dyDescent="0.25">
      <c r="A612" s="10" t="s">
        <v>140</v>
      </c>
      <c r="B612" s="10">
        <v>75250</v>
      </c>
      <c r="C612" s="10">
        <v>1904.7121970000001</v>
      </c>
    </row>
    <row r="613" spans="1:3" x14ac:dyDescent="0.25">
      <c r="A613" s="10" t="s">
        <v>140</v>
      </c>
      <c r="B613" s="10">
        <v>75500</v>
      </c>
      <c r="C613" s="10">
        <v>1918.50431</v>
      </c>
    </row>
    <row r="614" spans="1:3" x14ac:dyDescent="0.25">
      <c r="A614" s="10" t="s">
        <v>140</v>
      </c>
      <c r="B614" s="10">
        <v>75750</v>
      </c>
      <c r="C614" s="10">
        <v>1930.7639670000001</v>
      </c>
    </row>
    <row r="615" spans="1:3" x14ac:dyDescent="0.25">
      <c r="A615" s="10" t="s">
        <v>140</v>
      </c>
      <c r="B615" s="10">
        <v>76000</v>
      </c>
      <c r="C615" s="10">
        <v>1944.5560800000001</v>
      </c>
    </row>
    <row r="616" spans="1:3" x14ac:dyDescent="0.25">
      <c r="A616" s="10" t="s">
        <v>140</v>
      </c>
      <c r="B616" s="10">
        <v>76250</v>
      </c>
      <c r="C616" s="10">
        <v>1956.8157369999999</v>
      </c>
    </row>
    <row r="617" spans="1:3" x14ac:dyDescent="0.25">
      <c r="A617" s="10" t="s">
        <v>140</v>
      </c>
      <c r="B617" s="10">
        <v>76500</v>
      </c>
      <c r="C617" s="10">
        <v>1972.140308</v>
      </c>
    </row>
    <row r="618" spans="1:3" x14ac:dyDescent="0.25">
      <c r="A618" s="10" t="s">
        <v>140</v>
      </c>
      <c r="B618" s="10">
        <v>76750</v>
      </c>
      <c r="C618" s="10">
        <v>1984.399964</v>
      </c>
    </row>
    <row r="619" spans="1:3" x14ac:dyDescent="0.25">
      <c r="A619" s="10" t="s">
        <v>140</v>
      </c>
      <c r="B619" s="10">
        <v>77000</v>
      </c>
      <c r="C619" s="10">
        <v>1999.7245350000001</v>
      </c>
    </row>
    <row r="620" spans="1:3" x14ac:dyDescent="0.25">
      <c r="A620" s="10" t="s">
        <v>140</v>
      </c>
      <c r="B620" s="10">
        <v>77250</v>
      </c>
      <c r="C620" s="10">
        <v>2011.984191</v>
      </c>
    </row>
    <row r="621" spans="1:3" x14ac:dyDescent="0.25">
      <c r="A621" s="10" t="s">
        <v>140</v>
      </c>
      <c r="B621" s="10">
        <v>77500</v>
      </c>
      <c r="C621" s="10">
        <v>2025.7763050000001</v>
      </c>
    </row>
    <row r="622" spans="1:3" x14ac:dyDescent="0.25">
      <c r="A622" s="10" t="s">
        <v>140</v>
      </c>
      <c r="B622" s="10">
        <v>77750</v>
      </c>
      <c r="C622" s="10">
        <v>2038.035961</v>
      </c>
    </row>
    <row r="623" spans="1:3" x14ac:dyDescent="0.25">
      <c r="A623" s="10" t="s">
        <v>140</v>
      </c>
      <c r="B623" s="10">
        <v>78000</v>
      </c>
      <c r="C623" s="10">
        <v>2051.8280749999999</v>
      </c>
    </row>
    <row r="624" spans="1:3" x14ac:dyDescent="0.25">
      <c r="A624" s="10" t="s">
        <v>140</v>
      </c>
      <c r="B624" s="10">
        <v>78250</v>
      </c>
      <c r="C624" s="10">
        <v>2065.6201879999999</v>
      </c>
    </row>
    <row r="625" spans="1:3" x14ac:dyDescent="0.25">
      <c r="A625" s="10" t="s">
        <v>140</v>
      </c>
      <c r="B625" s="10">
        <v>78500</v>
      </c>
      <c r="C625" s="10">
        <v>2080.944759</v>
      </c>
    </row>
    <row r="626" spans="1:3" x14ac:dyDescent="0.25">
      <c r="A626" s="10" t="s">
        <v>140</v>
      </c>
      <c r="B626" s="10">
        <v>78750</v>
      </c>
      <c r="C626" s="10">
        <v>2096.0852030000001</v>
      </c>
    </row>
    <row r="627" spans="1:3" x14ac:dyDescent="0.25">
      <c r="A627" s="10" t="s">
        <v>140</v>
      </c>
      <c r="B627" s="10">
        <v>79000</v>
      </c>
      <c r="C627" s="10">
        <v>2119.2561860000001</v>
      </c>
    </row>
    <row r="628" spans="1:3" x14ac:dyDescent="0.25">
      <c r="A628" s="10" t="s">
        <v>140</v>
      </c>
      <c r="B628" s="10">
        <v>79250</v>
      </c>
      <c r="C628" s="10">
        <v>2140.7105849999998</v>
      </c>
    </row>
    <row r="629" spans="1:3" x14ac:dyDescent="0.25">
      <c r="A629" s="10" t="s">
        <v>140</v>
      </c>
      <c r="B629" s="10">
        <v>79500</v>
      </c>
      <c r="C629" s="10">
        <v>2163.6669940000002</v>
      </c>
    </row>
    <row r="630" spans="1:3" x14ac:dyDescent="0.25">
      <c r="A630" s="10" t="s">
        <v>140</v>
      </c>
      <c r="B630" s="10">
        <v>79750</v>
      </c>
      <c r="C630" s="10">
        <v>2177.4895540000002</v>
      </c>
    </row>
    <row r="631" spans="1:3" x14ac:dyDescent="0.25">
      <c r="A631" s="10" t="s">
        <v>140</v>
      </c>
      <c r="B631" s="10">
        <v>80000</v>
      </c>
      <c r="C631" s="10">
        <v>2191.2816680000001</v>
      </c>
    </row>
    <row r="632" spans="1:3" x14ac:dyDescent="0.25">
      <c r="A632" s="10" t="s">
        <v>140</v>
      </c>
      <c r="B632" s="10">
        <v>80250</v>
      </c>
      <c r="C632" s="10">
        <v>2205.0737810000001</v>
      </c>
    </row>
    <row r="633" spans="1:3" x14ac:dyDescent="0.25">
      <c r="A633" s="10" t="s">
        <v>140</v>
      </c>
      <c r="B633" s="10">
        <v>80500</v>
      </c>
      <c r="C633" s="10">
        <v>2220.3983520000002</v>
      </c>
    </row>
    <row r="634" spans="1:3" x14ac:dyDescent="0.25">
      <c r="A634" s="10" t="s">
        <v>140</v>
      </c>
      <c r="B634" s="10">
        <v>80750</v>
      </c>
      <c r="C634" s="10">
        <v>2234.1904650000001</v>
      </c>
    </row>
    <row r="635" spans="1:3" x14ac:dyDescent="0.25">
      <c r="A635" s="10" t="s">
        <v>140</v>
      </c>
      <c r="B635" s="10">
        <v>81000</v>
      </c>
      <c r="C635" s="10">
        <v>2247.982579</v>
      </c>
    </row>
    <row r="636" spans="1:3" x14ac:dyDescent="0.25">
      <c r="A636" s="10" t="s">
        <v>140</v>
      </c>
      <c r="B636" s="10">
        <v>81250</v>
      </c>
      <c r="C636" s="10">
        <v>2263.3071500000001</v>
      </c>
    </row>
    <row r="637" spans="1:3" x14ac:dyDescent="0.25">
      <c r="A637" s="10" t="s">
        <v>140</v>
      </c>
      <c r="B637" s="10">
        <v>81500</v>
      </c>
      <c r="C637" s="10">
        <v>2297.021205</v>
      </c>
    </row>
    <row r="638" spans="1:3" x14ac:dyDescent="0.25">
      <c r="A638" s="10" t="s">
        <v>140</v>
      </c>
      <c r="B638" s="10">
        <v>81750</v>
      </c>
      <c r="C638" s="10">
        <v>2329.2028030000001</v>
      </c>
    </row>
    <row r="639" spans="1:3" x14ac:dyDescent="0.25">
      <c r="A639" s="10" t="s">
        <v>140</v>
      </c>
      <c r="B639" s="10">
        <v>82000</v>
      </c>
      <c r="C639" s="10">
        <v>2344.5273739999998</v>
      </c>
    </row>
    <row r="640" spans="1:3" x14ac:dyDescent="0.25">
      <c r="A640" s="10" t="s">
        <v>140</v>
      </c>
      <c r="B640" s="10">
        <v>82250</v>
      </c>
      <c r="C640" s="10">
        <v>2358.3194880000001</v>
      </c>
    </row>
    <row r="641" spans="1:3" x14ac:dyDescent="0.25">
      <c r="A641" s="10" t="s">
        <v>140</v>
      </c>
      <c r="B641" s="10">
        <v>82500</v>
      </c>
      <c r="C641" s="10">
        <v>2375.1765150000001</v>
      </c>
    </row>
    <row r="642" spans="1:3" x14ac:dyDescent="0.25">
      <c r="A642" s="10" t="s">
        <v>140</v>
      </c>
      <c r="B642" s="10">
        <v>82750</v>
      </c>
      <c r="C642" s="10">
        <v>2389.6732400000001</v>
      </c>
    </row>
    <row r="643" spans="1:3" x14ac:dyDescent="0.25">
      <c r="A643" s="10" t="s">
        <v>140</v>
      </c>
      <c r="B643" s="10">
        <v>83000</v>
      </c>
      <c r="C643" s="10">
        <v>2406.0706759999998</v>
      </c>
    </row>
    <row r="644" spans="1:3" x14ac:dyDescent="0.25">
      <c r="A644" s="10" t="s">
        <v>140</v>
      </c>
      <c r="B644" s="10">
        <v>83250</v>
      </c>
      <c r="C644" s="10">
        <v>2422.4681110000001</v>
      </c>
    </row>
    <row r="645" spans="1:3" x14ac:dyDescent="0.25">
      <c r="A645" s="10" t="s">
        <v>140</v>
      </c>
      <c r="B645" s="10">
        <v>83500</v>
      </c>
      <c r="C645" s="10">
        <v>2436.4747980000002</v>
      </c>
    </row>
    <row r="646" spans="1:3" x14ac:dyDescent="0.25">
      <c r="A646" s="10" t="s">
        <v>140</v>
      </c>
      <c r="B646" s="10">
        <v>83750</v>
      </c>
      <c r="C646" s="10">
        <v>2452.4430870000001</v>
      </c>
    </row>
    <row r="647" spans="1:3" x14ac:dyDescent="0.25">
      <c r="A647" s="10" t="s">
        <v>140</v>
      </c>
      <c r="B647" s="10">
        <v>84000</v>
      </c>
      <c r="C647" s="10">
        <v>2471.7213099999999</v>
      </c>
    </row>
    <row r="648" spans="1:3" x14ac:dyDescent="0.25">
      <c r="A648" s="10" t="s">
        <v>140</v>
      </c>
      <c r="B648" s="10">
        <v>84250</v>
      </c>
      <c r="C648" s="10">
        <v>2487.045881</v>
      </c>
    </row>
    <row r="649" spans="1:3" x14ac:dyDescent="0.25">
      <c r="A649" s="10" t="s">
        <v>140</v>
      </c>
      <c r="B649" s="10">
        <v>84500</v>
      </c>
      <c r="C649" s="10">
        <v>2503.9029089999999</v>
      </c>
    </row>
    <row r="650" spans="1:3" x14ac:dyDescent="0.25">
      <c r="A650" s="10" t="s">
        <v>140</v>
      </c>
      <c r="B650" s="10">
        <v>84750</v>
      </c>
      <c r="C650" s="10">
        <v>2540.6818779999999</v>
      </c>
    </row>
    <row r="651" spans="1:3" x14ac:dyDescent="0.25">
      <c r="A651" s="10" t="s">
        <v>140</v>
      </c>
      <c r="B651" s="10">
        <v>85000</v>
      </c>
      <c r="C651" s="10">
        <v>2589.7205039999999</v>
      </c>
    </row>
    <row r="652" spans="1:3" x14ac:dyDescent="0.25">
      <c r="A652" s="10" t="s">
        <v>140</v>
      </c>
      <c r="B652" s="10">
        <v>85250</v>
      </c>
      <c r="C652" s="10">
        <v>2640.2915870000002</v>
      </c>
    </row>
    <row r="653" spans="1:3" x14ac:dyDescent="0.25">
      <c r="A653" s="10" t="s">
        <v>140</v>
      </c>
      <c r="B653" s="10">
        <v>85500</v>
      </c>
      <c r="C653" s="10">
        <v>2701.620316</v>
      </c>
    </row>
    <row r="654" spans="1:3" x14ac:dyDescent="0.25">
      <c r="A654" s="10" t="s">
        <v>140</v>
      </c>
      <c r="B654" s="10">
        <v>85750</v>
      </c>
      <c r="C654" s="10">
        <v>2761.3556950000002</v>
      </c>
    </row>
    <row r="655" spans="1:3" x14ac:dyDescent="0.25">
      <c r="A655" s="10" t="s">
        <v>140</v>
      </c>
      <c r="B655" s="10">
        <v>86000</v>
      </c>
      <c r="C655" s="10">
        <v>2841.043463</v>
      </c>
    </row>
    <row r="656" spans="1:3" x14ac:dyDescent="0.25">
      <c r="A656" s="10" t="s">
        <v>140</v>
      </c>
      <c r="B656" s="10">
        <v>86250</v>
      </c>
      <c r="C656" s="10">
        <v>2925.3286010000002</v>
      </c>
    </row>
    <row r="657" spans="1:3" x14ac:dyDescent="0.25">
      <c r="A657" s="10" t="s">
        <v>140</v>
      </c>
      <c r="B657" s="10">
        <v>86500</v>
      </c>
      <c r="C657" s="10">
        <v>2963.6400279999998</v>
      </c>
    </row>
    <row r="658" spans="1:3" x14ac:dyDescent="0.25">
      <c r="A658" s="10" t="s">
        <v>140</v>
      </c>
      <c r="B658" s="10">
        <v>86750</v>
      </c>
      <c r="C658" s="10">
        <v>2983.5619700000002</v>
      </c>
    </row>
    <row r="659" spans="1:3" x14ac:dyDescent="0.25">
      <c r="A659" s="10" t="s">
        <v>140</v>
      </c>
      <c r="B659" s="10">
        <v>87000</v>
      </c>
      <c r="C659" s="10">
        <v>3004.403096</v>
      </c>
    </row>
    <row r="660" spans="1:3" x14ac:dyDescent="0.25">
      <c r="A660" s="10" t="s">
        <v>140</v>
      </c>
      <c r="B660" s="10">
        <v>87250</v>
      </c>
      <c r="C660" s="10">
        <v>3023.8654449999999</v>
      </c>
    </row>
    <row r="661" spans="1:3" x14ac:dyDescent="0.25">
      <c r="A661" s="10" t="s">
        <v>140</v>
      </c>
      <c r="B661" s="10">
        <v>87500</v>
      </c>
      <c r="C661" s="10">
        <v>3044.8602519999999</v>
      </c>
    </row>
    <row r="662" spans="1:3" x14ac:dyDescent="0.25">
      <c r="A662" s="10" t="s">
        <v>140</v>
      </c>
      <c r="B662" s="10">
        <v>87750</v>
      </c>
      <c r="C662" s="10">
        <v>3065.6404859999998</v>
      </c>
    </row>
    <row r="663" spans="1:3" x14ac:dyDescent="0.25">
      <c r="A663" s="10" t="s">
        <v>140</v>
      </c>
      <c r="B663" s="10">
        <v>88000</v>
      </c>
      <c r="C663" s="10">
        <v>3083.5703779999999</v>
      </c>
    </row>
    <row r="664" spans="1:3" x14ac:dyDescent="0.25">
      <c r="A664" t="s">
        <v>142</v>
      </c>
      <c r="B664" s="10">
        <v>175000</v>
      </c>
      <c r="C664" s="10">
        <v>1549.4</v>
      </c>
    </row>
    <row r="665" spans="1:3" x14ac:dyDescent="0.25">
      <c r="A665" s="10" t="s">
        <v>142</v>
      </c>
      <c r="B665" s="10">
        <v>175250</v>
      </c>
      <c r="C665" s="10">
        <v>1552.1</v>
      </c>
    </row>
    <row r="666" spans="1:3" x14ac:dyDescent="0.25">
      <c r="A666" s="10" t="s">
        <v>142</v>
      </c>
      <c r="B666" s="10">
        <v>175500</v>
      </c>
      <c r="C666" s="10">
        <v>1554</v>
      </c>
    </row>
    <row r="667" spans="1:3" x14ac:dyDescent="0.25">
      <c r="A667" s="10" t="s">
        <v>142</v>
      </c>
      <c r="B667" s="10">
        <v>175750</v>
      </c>
      <c r="C667" s="10">
        <v>1556.8</v>
      </c>
    </row>
    <row r="668" spans="1:3" x14ac:dyDescent="0.25">
      <c r="A668" s="10" t="s">
        <v>142</v>
      </c>
      <c r="B668" s="10">
        <v>176000</v>
      </c>
      <c r="C668" s="10">
        <v>1559.5</v>
      </c>
    </row>
    <row r="669" spans="1:3" x14ac:dyDescent="0.25">
      <c r="A669" s="10" t="s">
        <v>142</v>
      </c>
      <c r="B669" s="10">
        <v>176250</v>
      </c>
      <c r="C669" s="10">
        <v>1561.4</v>
      </c>
    </row>
    <row r="670" spans="1:3" x14ac:dyDescent="0.25">
      <c r="A670" s="10" t="s">
        <v>142</v>
      </c>
      <c r="B670" s="10">
        <v>176500</v>
      </c>
      <c r="C670" s="10">
        <v>1564.2</v>
      </c>
    </row>
    <row r="671" spans="1:3" x14ac:dyDescent="0.25">
      <c r="A671" s="10" t="s">
        <v>142</v>
      </c>
      <c r="B671" s="10">
        <v>176750</v>
      </c>
      <c r="C671" s="10">
        <v>1566.1</v>
      </c>
    </row>
    <row r="672" spans="1:3" x14ac:dyDescent="0.25">
      <c r="A672" s="10" t="s">
        <v>142</v>
      </c>
      <c r="B672" s="10">
        <v>177000</v>
      </c>
      <c r="C672" s="10">
        <v>1570.7</v>
      </c>
    </row>
    <row r="673" spans="1:3" x14ac:dyDescent="0.25">
      <c r="A673" s="10" t="s">
        <v>142</v>
      </c>
      <c r="B673" s="10">
        <v>177250</v>
      </c>
      <c r="C673" s="10">
        <v>1572.6</v>
      </c>
    </row>
    <row r="674" spans="1:3" x14ac:dyDescent="0.25">
      <c r="A674" s="10" t="s">
        <v>142</v>
      </c>
      <c r="B674" s="10">
        <v>177500</v>
      </c>
      <c r="C674" s="10">
        <v>1577.3</v>
      </c>
    </row>
    <row r="675" spans="1:3" x14ac:dyDescent="0.25">
      <c r="A675" s="10" t="s">
        <v>142</v>
      </c>
      <c r="B675" s="10">
        <v>177750</v>
      </c>
      <c r="C675" s="10">
        <v>1580</v>
      </c>
    </row>
    <row r="676" spans="1:3" x14ac:dyDescent="0.25">
      <c r="A676" s="10" t="s">
        <v>142</v>
      </c>
      <c r="B676" s="10">
        <v>178000</v>
      </c>
      <c r="C676" s="10">
        <v>1581.9</v>
      </c>
    </row>
    <row r="677" spans="1:3" x14ac:dyDescent="0.25">
      <c r="A677" s="10" t="s">
        <v>142</v>
      </c>
      <c r="B677" s="10">
        <v>178250</v>
      </c>
      <c r="C677" s="10">
        <v>1585.6</v>
      </c>
    </row>
    <row r="678" spans="1:3" x14ac:dyDescent="0.25">
      <c r="A678" s="10" t="s">
        <v>142</v>
      </c>
      <c r="B678" s="10">
        <v>178500</v>
      </c>
      <c r="C678" s="10">
        <v>1591.1</v>
      </c>
    </row>
    <row r="679" spans="1:3" x14ac:dyDescent="0.25">
      <c r="A679" s="10" t="s">
        <v>142</v>
      </c>
      <c r="B679" s="10">
        <v>178750</v>
      </c>
      <c r="C679" s="10">
        <v>1591.1</v>
      </c>
    </row>
    <row r="680" spans="1:3" x14ac:dyDescent="0.25">
      <c r="A680" s="10" t="s">
        <v>142</v>
      </c>
      <c r="B680" s="10">
        <v>179000</v>
      </c>
      <c r="C680" s="10">
        <v>1596.6</v>
      </c>
    </row>
    <row r="681" spans="1:3" x14ac:dyDescent="0.25">
      <c r="A681" s="10" t="s">
        <v>142</v>
      </c>
      <c r="B681" s="10">
        <v>179250</v>
      </c>
      <c r="C681" s="10">
        <v>1596.6</v>
      </c>
    </row>
    <row r="682" spans="1:3" x14ac:dyDescent="0.25">
      <c r="A682" s="10" t="s">
        <v>142</v>
      </c>
      <c r="B682" s="10">
        <v>179500</v>
      </c>
      <c r="C682" s="10">
        <v>1602.1</v>
      </c>
    </row>
    <row r="683" spans="1:3" x14ac:dyDescent="0.25">
      <c r="A683" s="10" t="s">
        <v>142</v>
      </c>
      <c r="B683" s="10">
        <v>179750</v>
      </c>
      <c r="C683" s="10">
        <v>1604.9</v>
      </c>
    </row>
    <row r="684" spans="1:3" x14ac:dyDescent="0.25">
      <c r="A684" s="10" t="s">
        <v>142</v>
      </c>
      <c r="B684" s="10">
        <v>180000</v>
      </c>
      <c r="C684" s="10">
        <v>1607.7</v>
      </c>
    </row>
    <row r="685" spans="1:3" x14ac:dyDescent="0.25">
      <c r="A685" s="10" t="s">
        <v>142</v>
      </c>
      <c r="B685" s="10">
        <v>180250</v>
      </c>
      <c r="C685" s="10">
        <v>1613.2</v>
      </c>
    </row>
    <row r="686" spans="1:3" x14ac:dyDescent="0.25">
      <c r="A686" s="10" t="s">
        <v>142</v>
      </c>
      <c r="B686" s="10">
        <v>180500</v>
      </c>
      <c r="C686" s="10">
        <v>1615.9</v>
      </c>
    </row>
    <row r="687" spans="1:3" x14ac:dyDescent="0.25">
      <c r="A687" s="10" t="s">
        <v>142</v>
      </c>
      <c r="B687" s="10">
        <v>180750</v>
      </c>
      <c r="C687" s="10">
        <v>1618.7</v>
      </c>
    </row>
    <row r="688" spans="1:3" x14ac:dyDescent="0.25">
      <c r="A688" s="10" t="s">
        <v>142</v>
      </c>
      <c r="B688" s="10">
        <v>181000</v>
      </c>
      <c r="C688" s="10">
        <v>1624.2</v>
      </c>
    </row>
    <row r="689" spans="1:3" x14ac:dyDescent="0.25">
      <c r="A689" s="10" t="s">
        <v>142</v>
      </c>
      <c r="B689" s="10">
        <v>181250</v>
      </c>
      <c r="C689" s="10">
        <v>1624.2</v>
      </c>
    </row>
    <row r="690" spans="1:3" x14ac:dyDescent="0.25">
      <c r="A690" s="10" t="s">
        <v>142</v>
      </c>
      <c r="B690" s="10">
        <v>181500</v>
      </c>
      <c r="C690" s="10">
        <v>1626.9</v>
      </c>
    </row>
    <row r="691" spans="1:3" x14ac:dyDescent="0.25">
      <c r="A691" s="10" t="s">
        <v>142</v>
      </c>
      <c r="B691" s="10">
        <v>181750</v>
      </c>
      <c r="C691" s="10">
        <v>1629.7</v>
      </c>
    </row>
    <row r="692" spans="1:3" x14ac:dyDescent="0.25">
      <c r="A692" s="10" t="s">
        <v>142</v>
      </c>
      <c r="B692" s="10">
        <v>182000</v>
      </c>
      <c r="C692" s="10">
        <v>1632.4</v>
      </c>
    </row>
    <row r="693" spans="1:3" x14ac:dyDescent="0.25">
      <c r="A693" s="10" t="s">
        <v>142</v>
      </c>
      <c r="B693" s="10">
        <v>182250</v>
      </c>
      <c r="C693" s="10">
        <v>1635.2</v>
      </c>
    </row>
    <row r="694" spans="1:3" x14ac:dyDescent="0.25">
      <c r="A694" s="10" t="s">
        <v>142</v>
      </c>
      <c r="B694" s="10">
        <v>182500</v>
      </c>
      <c r="C694" s="10">
        <v>1640.7</v>
      </c>
    </row>
    <row r="695" spans="1:3" x14ac:dyDescent="0.25">
      <c r="A695" s="10" t="s">
        <v>142</v>
      </c>
      <c r="B695" s="10">
        <v>182750</v>
      </c>
      <c r="C695" s="10">
        <v>1640.7</v>
      </c>
    </row>
    <row r="696" spans="1:3" x14ac:dyDescent="0.25">
      <c r="A696" s="10" t="s">
        <v>142</v>
      </c>
      <c r="B696" s="10">
        <v>183000</v>
      </c>
      <c r="C696" s="10">
        <v>1646.2</v>
      </c>
    </row>
    <row r="697" spans="1:3" x14ac:dyDescent="0.25">
      <c r="A697" s="10" t="s">
        <v>142</v>
      </c>
      <c r="B697" s="10">
        <v>183250</v>
      </c>
      <c r="C697" s="10">
        <v>1649</v>
      </c>
    </row>
    <row r="698" spans="1:3" x14ac:dyDescent="0.25">
      <c r="A698" s="10" t="s">
        <v>142</v>
      </c>
      <c r="B698" s="10">
        <v>183500</v>
      </c>
      <c r="C698" s="10">
        <v>1651.7</v>
      </c>
    </row>
    <row r="699" spans="1:3" x14ac:dyDescent="0.25">
      <c r="A699" s="10" t="s">
        <v>142</v>
      </c>
      <c r="B699" s="10">
        <v>183750</v>
      </c>
      <c r="C699" s="10">
        <v>1657.2</v>
      </c>
    </row>
    <row r="700" spans="1:3" x14ac:dyDescent="0.25">
      <c r="A700" s="10" t="s">
        <v>142</v>
      </c>
      <c r="B700" s="10">
        <v>184000</v>
      </c>
      <c r="C700" s="10">
        <v>1657.2</v>
      </c>
    </row>
    <row r="701" spans="1:3" x14ac:dyDescent="0.25">
      <c r="A701" s="10" t="s">
        <v>142</v>
      </c>
      <c r="B701" s="10">
        <v>184250</v>
      </c>
      <c r="C701" s="10">
        <v>1662.7</v>
      </c>
    </row>
    <row r="702" spans="1:3" x14ac:dyDescent="0.25">
      <c r="A702" s="10" t="s">
        <v>142</v>
      </c>
      <c r="B702" s="10">
        <v>184500</v>
      </c>
      <c r="C702" s="10">
        <v>1662.7</v>
      </c>
    </row>
    <row r="703" spans="1:3" x14ac:dyDescent="0.25">
      <c r="A703" s="10" t="s">
        <v>142</v>
      </c>
      <c r="B703" s="10">
        <v>184750</v>
      </c>
      <c r="C703" s="10">
        <v>1668.2</v>
      </c>
    </row>
    <row r="704" spans="1:3" x14ac:dyDescent="0.25">
      <c r="A704" s="10" t="s">
        <v>142</v>
      </c>
      <c r="B704" s="10">
        <v>185000</v>
      </c>
      <c r="C704" s="10">
        <v>1668.2</v>
      </c>
    </row>
    <row r="705" spans="1:3" x14ac:dyDescent="0.25">
      <c r="A705" s="10" t="s">
        <v>142</v>
      </c>
      <c r="B705" s="10">
        <v>185250</v>
      </c>
      <c r="C705" s="10">
        <v>1673.7</v>
      </c>
    </row>
    <row r="706" spans="1:3" x14ac:dyDescent="0.25">
      <c r="A706" s="10" t="s">
        <v>142</v>
      </c>
      <c r="B706" s="10">
        <v>185500</v>
      </c>
      <c r="C706" s="10">
        <v>1676.5</v>
      </c>
    </row>
    <row r="707" spans="1:3" x14ac:dyDescent="0.25">
      <c r="A707" s="10" t="s">
        <v>142</v>
      </c>
      <c r="B707" s="10">
        <v>185750</v>
      </c>
      <c r="C707" s="10">
        <v>1679.2</v>
      </c>
    </row>
    <row r="708" spans="1:3" x14ac:dyDescent="0.25">
      <c r="A708" s="10" t="s">
        <v>142</v>
      </c>
      <c r="B708" s="10">
        <v>186000</v>
      </c>
      <c r="C708" s="10">
        <v>1682</v>
      </c>
    </row>
    <row r="709" spans="1:3" x14ac:dyDescent="0.25">
      <c r="A709" s="10" t="s">
        <v>142</v>
      </c>
      <c r="B709" s="10">
        <v>186250</v>
      </c>
      <c r="C709" s="10">
        <v>1684.8</v>
      </c>
    </row>
    <row r="710" spans="1:3" x14ac:dyDescent="0.25">
      <c r="A710" s="10" t="s">
        <v>142</v>
      </c>
      <c r="B710" s="10">
        <v>186500</v>
      </c>
      <c r="C710" s="10">
        <v>1690.3</v>
      </c>
    </row>
    <row r="711" spans="1:3" x14ac:dyDescent="0.25">
      <c r="A711" s="10" t="s">
        <v>142</v>
      </c>
      <c r="B711" s="10">
        <v>186750</v>
      </c>
      <c r="C711" s="10">
        <v>1690.3</v>
      </c>
    </row>
    <row r="712" spans="1:3" x14ac:dyDescent="0.25">
      <c r="A712" s="10" t="s">
        <v>142</v>
      </c>
      <c r="B712" s="10">
        <v>187000</v>
      </c>
      <c r="C712" s="10">
        <v>1695.8</v>
      </c>
    </row>
    <row r="713" spans="1:3" x14ac:dyDescent="0.25">
      <c r="A713" s="10" t="s">
        <v>142</v>
      </c>
      <c r="B713" s="10">
        <v>187250</v>
      </c>
      <c r="C713" s="10">
        <v>1698.5</v>
      </c>
    </row>
    <row r="714" spans="1:3" x14ac:dyDescent="0.25">
      <c r="A714" s="10" t="s">
        <v>142</v>
      </c>
      <c r="B714" s="10">
        <v>187500</v>
      </c>
      <c r="C714" s="10">
        <v>1701.3</v>
      </c>
    </row>
    <row r="715" spans="1:3" x14ac:dyDescent="0.25">
      <c r="A715" s="10" t="s">
        <v>142</v>
      </c>
      <c r="B715" s="10">
        <v>187750</v>
      </c>
      <c r="C715" s="10">
        <v>1706.8</v>
      </c>
    </row>
    <row r="716" spans="1:3" x14ac:dyDescent="0.25">
      <c r="A716" s="10" t="s">
        <v>142</v>
      </c>
      <c r="B716" s="10">
        <v>188000</v>
      </c>
      <c r="C716" s="10">
        <v>1706.8</v>
      </c>
    </row>
    <row r="717" spans="1:3" x14ac:dyDescent="0.25">
      <c r="A717" s="10" t="s">
        <v>142</v>
      </c>
      <c r="B717" s="10">
        <v>188250</v>
      </c>
      <c r="C717" s="10">
        <v>1709.5</v>
      </c>
    </row>
    <row r="718" spans="1:3" x14ac:dyDescent="0.25">
      <c r="A718" s="10" t="s">
        <v>142</v>
      </c>
      <c r="B718" s="10">
        <v>188500</v>
      </c>
      <c r="C718" s="10">
        <v>1712.3</v>
      </c>
    </row>
    <row r="719" spans="1:3" x14ac:dyDescent="0.25">
      <c r="A719" s="10" t="s">
        <v>142</v>
      </c>
      <c r="B719" s="10">
        <v>188750</v>
      </c>
      <c r="C719" s="10">
        <v>1717.8</v>
      </c>
    </row>
    <row r="720" spans="1:3" x14ac:dyDescent="0.25">
      <c r="A720" s="10" t="s">
        <v>142</v>
      </c>
      <c r="B720" s="10">
        <v>189000</v>
      </c>
      <c r="C720" s="10">
        <v>1717.8</v>
      </c>
    </row>
    <row r="721" spans="1:3" x14ac:dyDescent="0.25">
      <c r="A721" s="10" t="s">
        <v>142</v>
      </c>
      <c r="B721" s="10">
        <v>189250</v>
      </c>
      <c r="C721" s="10">
        <v>1723.3</v>
      </c>
    </row>
    <row r="722" spans="1:3" x14ac:dyDescent="0.25">
      <c r="A722" s="10" t="s">
        <v>142</v>
      </c>
      <c r="B722" s="10">
        <v>189500</v>
      </c>
      <c r="C722" s="10">
        <v>1723.3</v>
      </c>
    </row>
    <row r="723" spans="1:3" x14ac:dyDescent="0.25">
      <c r="A723" s="10" t="s">
        <v>142</v>
      </c>
      <c r="B723" s="10">
        <v>189750</v>
      </c>
      <c r="C723" s="10">
        <v>1728.8</v>
      </c>
    </row>
    <row r="724" spans="1:3" x14ac:dyDescent="0.25">
      <c r="A724" s="10" t="s">
        <v>142</v>
      </c>
      <c r="B724" s="10">
        <v>190000</v>
      </c>
      <c r="C724" s="10">
        <v>1731.6</v>
      </c>
    </row>
    <row r="725" spans="1:3" x14ac:dyDescent="0.25">
      <c r="A725" s="10" t="s">
        <v>142</v>
      </c>
      <c r="B725" s="10">
        <v>190250</v>
      </c>
      <c r="C725" s="10">
        <v>1734.3</v>
      </c>
    </row>
    <row r="726" spans="1:3" x14ac:dyDescent="0.25">
      <c r="A726" s="10" t="s">
        <v>142</v>
      </c>
      <c r="B726" s="10">
        <v>190500</v>
      </c>
      <c r="C726" s="10">
        <v>1739.8</v>
      </c>
    </row>
    <row r="727" spans="1:3" x14ac:dyDescent="0.25">
      <c r="A727" s="10" t="s">
        <v>142</v>
      </c>
      <c r="B727" s="10">
        <v>190750</v>
      </c>
      <c r="C727" s="10">
        <v>1742.6</v>
      </c>
    </row>
    <row r="728" spans="1:3" x14ac:dyDescent="0.25">
      <c r="A728" s="10" t="s">
        <v>142</v>
      </c>
      <c r="B728" s="10">
        <v>191000</v>
      </c>
      <c r="C728" s="10">
        <v>1745.3</v>
      </c>
    </row>
    <row r="729" spans="1:3" x14ac:dyDescent="0.25">
      <c r="A729" s="10" t="s">
        <v>142</v>
      </c>
      <c r="B729" s="10">
        <v>191250</v>
      </c>
      <c r="C729" s="10">
        <v>1750.8</v>
      </c>
    </row>
    <row r="730" spans="1:3" x14ac:dyDescent="0.25">
      <c r="A730" s="10" t="s">
        <v>142</v>
      </c>
      <c r="B730" s="10">
        <v>191500</v>
      </c>
      <c r="C730" s="10">
        <v>1750.8</v>
      </c>
    </row>
    <row r="731" spans="1:3" x14ac:dyDescent="0.25">
      <c r="A731" s="10" t="s">
        <v>142</v>
      </c>
      <c r="B731" s="10">
        <v>191750</v>
      </c>
      <c r="C731" s="10">
        <v>1756.3</v>
      </c>
    </row>
    <row r="732" spans="1:3" x14ac:dyDescent="0.25">
      <c r="A732" s="10" t="s">
        <v>142</v>
      </c>
      <c r="B732" s="10">
        <v>192000</v>
      </c>
      <c r="C732" s="10">
        <v>1756.3</v>
      </c>
    </row>
    <row r="733" spans="1:3" x14ac:dyDescent="0.25">
      <c r="A733" s="10" t="s">
        <v>142</v>
      </c>
      <c r="B733" s="10">
        <v>192250</v>
      </c>
      <c r="C733" s="10">
        <v>1761.9</v>
      </c>
    </row>
    <row r="734" spans="1:3" x14ac:dyDescent="0.25">
      <c r="A734" s="10" t="s">
        <v>142</v>
      </c>
      <c r="B734" s="10">
        <v>192500</v>
      </c>
      <c r="C734" s="10">
        <v>1761.9</v>
      </c>
    </row>
    <row r="735" spans="1:3" x14ac:dyDescent="0.25">
      <c r="A735" s="10" t="s">
        <v>142</v>
      </c>
      <c r="B735" s="10">
        <v>192750</v>
      </c>
      <c r="C735" s="10">
        <v>1767.4</v>
      </c>
    </row>
    <row r="736" spans="1:3" x14ac:dyDescent="0.25">
      <c r="A736" s="10" t="s">
        <v>142</v>
      </c>
      <c r="B736" s="10">
        <v>193000</v>
      </c>
      <c r="C736" s="10">
        <v>1770.1</v>
      </c>
    </row>
    <row r="737" spans="1:3" x14ac:dyDescent="0.25">
      <c r="A737" s="10" t="s">
        <v>142</v>
      </c>
      <c r="B737" s="10">
        <v>193250</v>
      </c>
      <c r="C737" s="10">
        <v>1772.9</v>
      </c>
    </row>
    <row r="738" spans="1:3" x14ac:dyDescent="0.25">
      <c r="A738" s="10" t="s">
        <v>142</v>
      </c>
      <c r="B738" s="10">
        <v>193500</v>
      </c>
      <c r="C738" s="10">
        <v>1778.4</v>
      </c>
    </row>
    <row r="739" spans="1:3" x14ac:dyDescent="0.25">
      <c r="A739" s="10" t="s">
        <v>142</v>
      </c>
      <c r="B739" s="10">
        <v>193750</v>
      </c>
      <c r="C739" s="10">
        <v>1778.4</v>
      </c>
    </row>
    <row r="740" spans="1:3" x14ac:dyDescent="0.25">
      <c r="A740" s="10" t="s">
        <v>142</v>
      </c>
      <c r="B740" s="10">
        <v>194000</v>
      </c>
      <c r="C740" s="10">
        <v>1783.9</v>
      </c>
    </row>
    <row r="741" spans="1:3" x14ac:dyDescent="0.25">
      <c r="A741" s="10" t="s">
        <v>142</v>
      </c>
      <c r="B741" s="10">
        <v>194250</v>
      </c>
      <c r="C741" s="10">
        <v>1786.6</v>
      </c>
    </row>
    <row r="742" spans="1:3" x14ac:dyDescent="0.25">
      <c r="A742" s="10" t="s">
        <v>142</v>
      </c>
      <c r="B742" s="10">
        <v>194500</v>
      </c>
      <c r="C742" s="10">
        <v>1792.6</v>
      </c>
    </row>
    <row r="743" spans="1:3" x14ac:dyDescent="0.25">
      <c r="A743" s="10" t="s">
        <v>142</v>
      </c>
      <c r="B743" s="10">
        <v>194750</v>
      </c>
      <c r="C743" s="10">
        <v>1797.3</v>
      </c>
    </row>
    <row r="744" spans="1:3" x14ac:dyDescent="0.25">
      <c r="A744" s="10" t="s">
        <v>142</v>
      </c>
      <c r="B744" s="10">
        <v>195000</v>
      </c>
      <c r="C744" s="10">
        <v>1801.1</v>
      </c>
    </row>
    <row r="745" spans="1:3" x14ac:dyDescent="0.25">
      <c r="A745" s="10" t="s">
        <v>142</v>
      </c>
      <c r="B745" s="10">
        <v>195250</v>
      </c>
      <c r="C745" s="10">
        <v>1804.9</v>
      </c>
    </row>
    <row r="746" spans="1:3" x14ac:dyDescent="0.25">
      <c r="A746" s="10" t="s">
        <v>142</v>
      </c>
      <c r="B746" s="10">
        <v>195500</v>
      </c>
      <c r="C746" s="10">
        <v>1807.6</v>
      </c>
    </row>
    <row r="747" spans="1:3" x14ac:dyDescent="0.25">
      <c r="A747" s="10" t="s">
        <v>142</v>
      </c>
      <c r="B747" s="10">
        <v>195750</v>
      </c>
      <c r="C747" s="10">
        <v>1810.4</v>
      </c>
    </row>
    <row r="748" spans="1:3" x14ac:dyDescent="0.25">
      <c r="A748" s="10" t="s">
        <v>142</v>
      </c>
      <c r="B748" s="10">
        <v>196000</v>
      </c>
      <c r="C748" s="10">
        <v>1814.2</v>
      </c>
    </row>
    <row r="749" spans="1:3" x14ac:dyDescent="0.25">
      <c r="A749" s="10" t="s">
        <v>142</v>
      </c>
      <c r="B749" s="10">
        <v>196250</v>
      </c>
      <c r="C749" s="10">
        <v>1816.9</v>
      </c>
    </row>
    <row r="750" spans="1:3" x14ac:dyDescent="0.25">
      <c r="A750" s="10" t="s">
        <v>142</v>
      </c>
      <c r="B750" s="10">
        <v>196500</v>
      </c>
      <c r="C750" s="10">
        <v>1816.9</v>
      </c>
    </row>
    <row r="751" spans="1:3" x14ac:dyDescent="0.25">
      <c r="A751" s="10" t="s">
        <v>142</v>
      </c>
      <c r="B751" s="10">
        <v>196750</v>
      </c>
      <c r="C751" s="10">
        <v>1819.7</v>
      </c>
    </row>
    <row r="752" spans="1:3" x14ac:dyDescent="0.25">
      <c r="A752" s="10" t="s">
        <v>142</v>
      </c>
      <c r="B752" s="10">
        <v>197000</v>
      </c>
      <c r="C752" s="10">
        <v>1822.4</v>
      </c>
    </row>
    <row r="753" spans="1:3" x14ac:dyDescent="0.25">
      <c r="A753" s="10" t="s">
        <v>142</v>
      </c>
      <c r="B753" s="10">
        <v>197250</v>
      </c>
      <c r="C753" s="10">
        <v>1822.4</v>
      </c>
    </row>
    <row r="754" spans="1:3" x14ac:dyDescent="0.25">
      <c r="A754" s="10" t="s">
        <v>142</v>
      </c>
      <c r="B754" s="10">
        <v>197500</v>
      </c>
      <c r="C754" s="10">
        <v>1827.9</v>
      </c>
    </row>
    <row r="755" spans="1:3" x14ac:dyDescent="0.25">
      <c r="A755" s="10" t="s">
        <v>142</v>
      </c>
      <c r="B755" s="10">
        <v>197750</v>
      </c>
      <c r="C755" s="10">
        <v>1827.9</v>
      </c>
    </row>
    <row r="756" spans="1:3" x14ac:dyDescent="0.25">
      <c r="A756" s="10" t="s">
        <v>142</v>
      </c>
      <c r="B756" s="10">
        <v>198000</v>
      </c>
      <c r="C756" s="10">
        <v>1830.7</v>
      </c>
    </row>
    <row r="757" spans="1:3" x14ac:dyDescent="0.25">
      <c r="A757" s="10" t="s">
        <v>142</v>
      </c>
      <c r="B757" s="10">
        <v>198250</v>
      </c>
      <c r="C757" s="10">
        <v>1834.5</v>
      </c>
    </row>
    <row r="758" spans="1:3" x14ac:dyDescent="0.25">
      <c r="A758" s="10" t="s">
        <v>142</v>
      </c>
      <c r="B758" s="10">
        <v>198500</v>
      </c>
      <c r="C758" s="10">
        <v>1837.2</v>
      </c>
    </row>
    <row r="759" spans="1:3" x14ac:dyDescent="0.25">
      <c r="A759" s="10" t="s">
        <v>142</v>
      </c>
      <c r="B759" s="10">
        <v>198750</v>
      </c>
      <c r="C759" s="10">
        <v>1841.9</v>
      </c>
    </row>
    <row r="760" spans="1:3" x14ac:dyDescent="0.25">
      <c r="A760" s="10" t="s">
        <v>142</v>
      </c>
      <c r="B760" s="10">
        <v>199000</v>
      </c>
      <c r="C760" s="10">
        <v>1843.8</v>
      </c>
    </row>
    <row r="761" spans="1:3" x14ac:dyDescent="0.25">
      <c r="A761" s="10" t="s">
        <v>142</v>
      </c>
      <c r="B761" s="10">
        <v>199250</v>
      </c>
      <c r="C761" s="10">
        <v>1846.5</v>
      </c>
    </row>
    <row r="762" spans="1:3" x14ac:dyDescent="0.25">
      <c r="A762" s="10" t="s">
        <v>142</v>
      </c>
      <c r="B762" s="10">
        <v>199500</v>
      </c>
      <c r="C762" s="10">
        <v>1850.3</v>
      </c>
    </row>
    <row r="763" spans="1:3" x14ac:dyDescent="0.25">
      <c r="A763" s="10" t="s">
        <v>142</v>
      </c>
      <c r="B763" s="10">
        <v>199750</v>
      </c>
      <c r="C763" s="10">
        <v>1855</v>
      </c>
    </row>
    <row r="764" spans="1:3" x14ac:dyDescent="0.25">
      <c r="A764" s="10" t="s">
        <v>142</v>
      </c>
      <c r="B764" s="10">
        <v>200000</v>
      </c>
      <c r="C764" s="10">
        <v>1858.2</v>
      </c>
    </row>
    <row r="765" spans="1:3" x14ac:dyDescent="0.25">
      <c r="A765" s="10" t="s">
        <v>142</v>
      </c>
      <c r="B765" s="10">
        <v>200250</v>
      </c>
      <c r="C765" s="10">
        <v>1861</v>
      </c>
    </row>
    <row r="766" spans="1:3" x14ac:dyDescent="0.25">
      <c r="A766" s="10" t="s">
        <v>142</v>
      </c>
      <c r="B766" s="10">
        <v>200500</v>
      </c>
      <c r="C766" s="10">
        <v>1866.5</v>
      </c>
    </row>
    <row r="767" spans="1:3" x14ac:dyDescent="0.25">
      <c r="A767" s="10" t="s">
        <v>142</v>
      </c>
      <c r="B767" s="10">
        <v>200750</v>
      </c>
      <c r="C767" s="10">
        <v>1866.5</v>
      </c>
    </row>
    <row r="768" spans="1:3" x14ac:dyDescent="0.25">
      <c r="A768" s="10" t="s">
        <v>142</v>
      </c>
      <c r="B768" s="10">
        <v>201000</v>
      </c>
      <c r="C768" s="10">
        <v>1872</v>
      </c>
    </row>
    <row r="769" spans="1:3" x14ac:dyDescent="0.25">
      <c r="A769" s="10" t="s">
        <v>142</v>
      </c>
      <c r="B769" s="10">
        <v>201250</v>
      </c>
      <c r="C769" s="10">
        <v>1877.5</v>
      </c>
    </row>
    <row r="770" spans="1:3" x14ac:dyDescent="0.25">
      <c r="A770" s="10" t="s">
        <v>142</v>
      </c>
      <c r="B770" s="10">
        <v>201500</v>
      </c>
      <c r="C770" s="10">
        <v>1877.5</v>
      </c>
    </row>
    <row r="771" spans="1:3" x14ac:dyDescent="0.25">
      <c r="A771" s="10" t="s">
        <v>142</v>
      </c>
      <c r="B771" s="10">
        <v>201750</v>
      </c>
      <c r="C771" s="10">
        <v>1880.3</v>
      </c>
    </row>
    <row r="772" spans="1:3" x14ac:dyDescent="0.25">
      <c r="A772" s="10" t="s">
        <v>142</v>
      </c>
      <c r="B772" s="10">
        <v>202000</v>
      </c>
      <c r="C772" s="10">
        <v>1883</v>
      </c>
    </row>
    <row r="773" spans="1:3" x14ac:dyDescent="0.25">
      <c r="A773" s="10" t="s">
        <v>142</v>
      </c>
      <c r="B773" s="10">
        <v>202250</v>
      </c>
      <c r="C773" s="10">
        <v>1888.5</v>
      </c>
    </row>
    <row r="774" spans="1:3" x14ac:dyDescent="0.25">
      <c r="A774" s="10" t="s">
        <v>142</v>
      </c>
      <c r="B774" s="10">
        <v>202500</v>
      </c>
      <c r="C774" s="10">
        <v>1891.3</v>
      </c>
    </row>
    <row r="775" spans="1:3" x14ac:dyDescent="0.25">
      <c r="A775" s="10" t="s">
        <v>142</v>
      </c>
      <c r="B775" s="10">
        <v>202750</v>
      </c>
      <c r="C775" s="10">
        <v>1894</v>
      </c>
    </row>
    <row r="776" spans="1:3" x14ac:dyDescent="0.25">
      <c r="A776" s="10" t="s">
        <v>142</v>
      </c>
      <c r="B776" s="10">
        <v>203000</v>
      </c>
      <c r="C776" s="10">
        <v>1899.5</v>
      </c>
    </row>
    <row r="777" spans="1:3" x14ac:dyDescent="0.25">
      <c r="A777" s="10" t="s">
        <v>142</v>
      </c>
      <c r="B777" s="10">
        <v>203250</v>
      </c>
      <c r="C777" s="10">
        <v>1899.5</v>
      </c>
    </row>
    <row r="778" spans="1:3" x14ac:dyDescent="0.25">
      <c r="A778" s="10" t="s">
        <v>142</v>
      </c>
      <c r="B778" s="10">
        <v>203500</v>
      </c>
      <c r="C778" s="10">
        <v>1905</v>
      </c>
    </row>
    <row r="779" spans="1:3" x14ac:dyDescent="0.25">
      <c r="A779" s="10" t="s">
        <v>142</v>
      </c>
      <c r="B779" s="10">
        <v>203750</v>
      </c>
      <c r="C779" s="10">
        <v>1907.8</v>
      </c>
    </row>
    <row r="780" spans="1:3" x14ac:dyDescent="0.25">
      <c r="A780" s="10" t="s">
        <v>142</v>
      </c>
      <c r="B780" s="10">
        <v>204000</v>
      </c>
      <c r="C780" s="10">
        <v>1910.5</v>
      </c>
    </row>
    <row r="781" spans="1:3" x14ac:dyDescent="0.25">
      <c r="A781" s="10" t="s">
        <v>142</v>
      </c>
      <c r="B781" s="10">
        <v>204250</v>
      </c>
      <c r="C781" s="10">
        <v>1913.3</v>
      </c>
    </row>
    <row r="782" spans="1:3" x14ac:dyDescent="0.25">
      <c r="A782" s="10" t="s">
        <v>142</v>
      </c>
      <c r="B782" s="10">
        <v>204500</v>
      </c>
      <c r="C782" s="10">
        <v>1916</v>
      </c>
    </row>
    <row r="783" spans="1:3" x14ac:dyDescent="0.25">
      <c r="A783" s="10" t="s">
        <v>142</v>
      </c>
      <c r="B783" s="10">
        <v>204750</v>
      </c>
      <c r="C783" s="10">
        <v>1918.8</v>
      </c>
    </row>
    <row r="784" spans="1:3" x14ac:dyDescent="0.25">
      <c r="A784" s="10" t="s">
        <v>142</v>
      </c>
      <c r="B784" s="10">
        <v>205000</v>
      </c>
      <c r="C784" s="10">
        <v>1921.6</v>
      </c>
    </row>
    <row r="785" spans="1:3" x14ac:dyDescent="0.25">
      <c r="A785" s="10" t="s">
        <v>142</v>
      </c>
      <c r="B785" s="10">
        <v>205250</v>
      </c>
      <c r="C785" s="10">
        <v>1927.1</v>
      </c>
    </row>
    <row r="786" spans="1:3" x14ac:dyDescent="0.25">
      <c r="A786" s="10" t="s">
        <v>142</v>
      </c>
      <c r="B786" s="10">
        <v>205500</v>
      </c>
      <c r="C786" s="10">
        <v>1927.1</v>
      </c>
    </row>
    <row r="787" spans="1:3" x14ac:dyDescent="0.25">
      <c r="A787" s="10" t="s">
        <v>142</v>
      </c>
      <c r="B787" s="10">
        <v>205750</v>
      </c>
      <c r="C787" s="10">
        <v>1932.6</v>
      </c>
    </row>
    <row r="788" spans="1:3" x14ac:dyDescent="0.25">
      <c r="A788" s="10" t="s">
        <v>142</v>
      </c>
      <c r="B788" s="10">
        <v>206000</v>
      </c>
      <c r="C788" s="10">
        <v>1938.1</v>
      </c>
    </row>
    <row r="789" spans="1:3" x14ac:dyDescent="0.25">
      <c r="A789" s="10" t="s">
        <v>142</v>
      </c>
      <c r="B789" s="10">
        <v>206250</v>
      </c>
      <c r="C789" s="10">
        <v>1940.8</v>
      </c>
    </row>
    <row r="790" spans="1:3" x14ac:dyDescent="0.25">
      <c r="A790" s="10" t="s">
        <v>142</v>
      </c>
      <c r="B790" s="10">
        <v>206500</v>
      </c>
      <c r="C790" s="10">
        <v>1943.6</v>
      </c>
    </row>
    <row r="791" spans="1:3" x14ac:dyDescent="0.25">
      <c r="A791" s="10" t="s">
        <v>142</v>
      </c>
      <c r="B791" s="10">
        <v>206750</v>
      </c>
      <c r="C791" s="10">
        <v>1949.1</v>
      </c>
    </row>
    <row r="792" spans="1:3" x14ac:dyDescent="0.25">
      <c r="A792" s="10" t="s">
        <v>142</v>
      </c>
      <c r="B792" s="10">
        <v>207000</v>
      </c>
      <c r="C792" s="10">
        <v>1949.1</v>
      </c>
    </row>
    <row r="793" spans="1:3" x14ac:dyDescent="0.25">
      <c r="A793" s="10" t="s">
        <v>142</v>
      </c>
      <c r="B793" s="10">
        <v>207250</v>
      </c>
      <c r="C793" s="10">
        <v>1954.6</v>
      </c>
    </row>
    <row r="794" spans="1:3" x14ac:dyDescent="0.25">
      <c r="A794" s="10" t="s">
        <v>142</v>
      </c>
      <c r="B794" s="10">
        <v>207500</v>
      </c>
      <c r="C794" s="10">
        <v>1954.6</v>
      </c>
    </row>
    <row r="795" spans="1:3" x14ac:dyDescent="0.25">
      <c r="A795" s="10" t="s">
        <v>142</v>
      </c>
      <c r="B795" s="10">
        <v>207750</v>
      </c>
      <c r="C795" s="10">
        <v>1960.1</v>
      </c>
    </row>
    <row r="796" spans="1:3" x14ac:dyDescent="0.25">
      <c r="A796" s="10" t="s">
        <v>142</v>
      </c>
      <c r="B796" s="10">
        <v>208000</v>
      </c>
      <c r="C796" s="10">
        <v>1962.9</v>
      </c>
    </row>
    <row r="797" spans="1:3" x14ac:dyDescent="0.25">
      <c r="A797" s="10" t="s">
        <v>142</v>
      </c>
      <c r="B797" s="10">
        <v>208250</v>
      </c>
      <c r="C797" s="10">
        <v>1965.6</v>
      </c>
    </row>
    <row r="798" spans="1:3" x14ac:dyDescent="0.25">
      <c r="A798" s="10" t="s">
        <v>142</v>
      </c>
      <c r="B798" s="10">
        <v>208500</v>
      </c>
      <c r="C798" s="10">
        <v>1971.1</v>
      </c>
    </row>
    <row r="799" spans="1:3" x14ac:dyDescent="0.25">
      <c r="A799" s="10" t="s">
        <v>142</v>
      </c>
      <c r="B799" s="10">
        <v>208750</v>
      </c>
      <c r="C799" s="10">
        <v>1971.1</v>
      </c>
    </row>
    <row r="800" spans="1:3" x14ac:dyDescent="0.25">
      <c r="A800" s="10" t="s">
        <v>142</v>
      </c>
      <c r="B800" s="10">
        <v>209000</v>
      </c>
      <c r="C800" s="10">
        <v>1976.6</v>
      </c>
    </row>
    <row r="801" spans="1:3" x14ac:dyDescent="0.25">
      <c r="A801" s="10" t="s">
        <v>142</v>
      </c>
      <c r="B801" s="10">
        <v>209250</v>
      </c>
      <c r="C801" s="10">
        <v>1979.4</v>
      </c>
    </row>
    <row r="802" spans="1:3" x14ac:dyDescent="0.25">
      <c r="A802" s="10" t="s">
        <v>142</v>
      </c>
      <c r="B802" s="10">
        <v>209500</v>
      </c>
      <c r="C802" s="10">
        <v>1982.1</v>
      </c>
    </row>
    <row r="803" spans="1:3" x14ac:dyDescent="0.25">
      <c r="A803" s="10" t="s">
        <v>142</v>
      </c>
      <c r="B803" s="10">
        <v>209750</v>
      </c>
      <c r="C803" s="10">
        <v>1988.3</v>
      </c>
    </row>
    <row r="804" spans="1:3" x14ac:dyDescent="0.25">
      <c r="A804" s="10" t="s">
        <v>142</v>
      </c>
      <c r="B804" s="10">
        <v>210000</v>
      </c>
      <c r="C804" s="10">
        <v>1990.4</v>
      </c>
    </row>
    <row r="805" spans="1:3" x14ac:dyDescent="0.25">
      <c r="A805" s="10" t="s">
        <v>142</v>
      </c>
      <c r="B805" s="10">
        <v>210250</v>
      </c>
      <c r="C805" s="10">
        <v>1993.1</v>
      </c>
    </row>
    <row r="806" spans="1:3" x14ac:dyDescent="0.25">
      <c r="A806" s="10" t="s">
        <v>142</v>
      </c>
      <c r="B806" s="10">
        <v>210500</v>
      </c>
      <c r="C806" s="10">
        <v>1995.9</v>
      </c>
    </row>
    <row r="807" spans="1:3" x14ac:dyDescent="0.25">
      <c r="A807" s="10" t="s">
        <v>142</v>
      </c>
      <c r="B807" s="10">
        <v>210750</v>
      </c>
      <c r="C807" s="10">
        <v>1998.7</v>
      </c>
    </row>
    <row r="808" spans="1:3" x14ac:dyDescent="0.25">
      <c r="A808" s="10" t="s">
        <v>142</v>
      </c>
      <c r="B808" s="10">
        <v>211000</v>
      </c>
      <c r="C808" s="10">
        <v>1998.7</v>
      </c>
    </row>
    <row r="809" spans="1:3" x14ac:dyDescent="0.25">
      <c r="A809" s="10" t="s">
        <v>142</v>
      </c>
      <c r="B809" s="10">
        <v>211250</v>
      </c>
      <c r="C809" s="10">
        <v>2004.2</v>
      </c>
    </row>
    <row r="810" spans="1:3" x14ac:dyDescent="0.25">
      <c r="A810" s="10" t="s">
        <v>142</v>
      </c>
      <c r="B810" s="10">
        <v>211500</v>
      </c>
      <c r="C810" s="10">
        <v>2011.8</v>
      </c>
    </row>
    <row r="811" spans="1:3" x14ac:dyDescent="0.25">
      <c r="A811" s="10" t="s">
        <v>142</v>
      </c>
      <c r="B811" s="10">
        <v>211750</v>
      </c>
      <c r="C811" s="10">
        <v>2015.2</v>
      </c>
    </row>
    <row r="812" spans="1:3" x14ac:dyDescent="0.25">
      <c r="A812" s="10" t="s">
        <v>142</v>
      </c>
      <c r="B812" s="10">
        <v>212000</v>
      </c>
      <c r="C812" s="10">
        <v>2015.2</v>
      </c>
    </row>
    <row r="813" spans="1:3" x14ac:dyDescent="0.25">
      <c r="A813" s="10" t="s">
        <v>142</v>
      </c>
      <c r="B813" s="10">
        <v>212250</v>
      </c>
      <c r="C813" s="10">
        <v>2020.7</v>
      </c>
    </row>
    <row r="814" spans="1:3" x14ac:dyDescent="0.25">
      <c r="A814" s="10" t="s">
        <v>142</v>
      </c>
      <c r="B814" s="10">
        <v>212500</v>
      </c>
      <c r="C814" s="10">
        <v>2023.4</v>
      </c>
    </row>
    <row r="815" spans="1:3" x14ac:dyDescent="0.25">
      <c r="A815" s="10" t="s">
        <v>142</v>
      </c>
      <c r="B815" s="10">
        <v>212750</v>
      </c>
      <c r="C815" s="10">
        <v>2026.2</v>
      </c>
    </row>
    <row r="816" spans="1:3" x14ac:dyDescent="0.25">
      <c r="A816" s="10" t="s">
        <v>142</v>
      </c>
      <c r="B816" s="10">
        <v>213000</v>
      </c>
      <c r="C816" s="10">
        <v>2029.4</v>
      </c>
    </row>
    <row r="817" spans="1:3" x14ac:dyDescent="0.25">
      <c r="A817" s="10" t="s">
        <v>142</v>
      </c>
      <c r="B817" s="10">
        <v>213250</v>
      </c>
      <c r="C817" s="10">
        <v>2033.2</v>
      </c>
    </row>
    <row r="818" spans="1:3" x14ac:dyDescent="0.25">
      <c r="A818" s="10" t="s">
        <v>142</v>
      </c>
      <c r="B818" s="10">
        <v>213500</v>
      </c>
      <c r="C818" s="10">
        <v>2037.2</v>
      </c>
    </row>
    <row r="819" spans="1:3" x14ac:dyDescent="0.25">
      <c r="A819" s="10" t="s">
        <v>142</v>
      </c>
      <c r="B819" s="10">
        <v>213750</v>
      </c>
      <c r="C819" s="10">
        <v>2041.5</v>
      </c>
    </row>
    <row r="820" spans="1:3" x14ac:dyDescent="0.25">
      <c r="A820" s="10" t="s">
        <v>142</v>
      </c>
      <c r="B820" s="10">
        <v>214000</v>
      </c>
      <c r="C820" s="10">
        <v>2043.2</v>
      </c>
    </row>
    <row r="821" spans="1:3" x14ac:dyDescent="0.25">
      <c r="A821" s="10" t="s">
        <v>142</v>
      </c>
      <c r="B821" s="10">
        <v>214250</v>
      </c>
      <c r="C821" s="10">
        <v>2045.5</v>
      </c>
    </row>
    <row r="822" spans="1:3" x14ac:dyDescent="0.25">
      <c r="A822" s="10" t="s">
        <v>142</v>
      </c>
      <c r="B822" s="10">
        <v>214500</v>
      </c>
      <c r="C822" s="10">
        <v>2048.1999999999998</v>
      </c>
    </row>
    <row r="823" spans="1:3" x14ac:dyDescent="0.25">
      <c r="A823" s="10" t="s">
        <v>142</v>
      </c>
      <c r="B823" s="10">
        <v>214750</v>
      </c>
      <c r="C823" s="10">
        <v>2054.4</v>
      </c>
    </row>
    <row r="824" spans="1:3" x14ac:dyDescent="0.25">
      <c r="A824" s="10" t="s">
        <v>142</v>
      </c>
      <c r="B824" s="10">
        <v>215000</v>
      </c>
      <c r="C824" s="10">
        <v>2056.5</v>
      </c>
    </row>
    <row r="825" spans="1:3" x14ac:dyDescent="0.25">
      <c r="A825" s="10" t="s">
        <v>142</v>
      </c>
      <c r="B825" s="10">
        <v>215250</v>
      </c>
      <c r="C825" s="10">
        <v>2059.1999999999998</v>
      </c>
    </row>
    <row r="826" spans="1:3" x14ac:dyDescent="0.25">
      <c r="A826" s="10" t="s">
        <v>142</v>
      </c>
      <c r="B826" s="10">
        <v>215500</v>
      </c>
      <c r="C826" s="10">
        <v>2064.6999999999998</v>
      </c>
    </row>
    <row r="827" spans="1:3" x14ac:dyDescent="0.25">
      <c r="A827" s="10" t="s">
        <v>142</v>
      </c>
      <c r="B827" s="10">
        <v>215750</v>
      </c>
      <c r="C827" s="10">
        <v>2069.1999999999998</v>
      </c>
    </row>
    <row r="828" spans="1:3" x14ac:dyDescent="0.25">
      <c r="A828" s="10" t="s">
        <v>142</v>
      </c>
      <c r="B828" s="10">
        <v>216000</v>
      </c>
      <c r="C828" s="10">
        <v>2070.1999999999998</v>
      </c>
    </row>
    <row r="829" spans="1:3" x14ac:dyDescent="0.25">
      <c r="A829" s="10" t="s">
        <v>142</v>
      </c>
      <c r="B829" s="10">
        <v>216250</v>
      </c>
      <c r="C829" s="10">
        <v>2075.8000000000002</v>
      </c>
    </row>
    <row r="830" spans="1:3" x14ac:dyDescent="0.25">
      <c r="A830" s="10" t="s">
        <v>142</v>
      </c>
      <c r="B830" s="10">
        <v>216500</v>
      </c>
      <c r="C830" s="10">
        <v>2078.5</v>
      </c>
    </row>
    <row r="831" spans="1:3" x14ac:dyDescent="0.25">
      <c r="A831" s="10" t="s">
        <v>142</v>
      </c>
      <c r="B831" s="10">
        <v>216750</v>
      </c>
      <c r="C831" s="10">
        <v>2081.3000000000002</v>
      </c>
    </row>
    <row r="832" spans="1:3" x14ac:dyDescent="0.25">
      <c r="A832" s="10" t="s">
        <v>142</v>
      </c>
      <c r="B832" s="10">
        <v>217000</v>
      </c>
      <c r="C832" s="10">
        <v>2084</v>
      </c>
    </row>
    <row r="833" spans="1:3" x14ac:dyDescent="0.25">
      <c r="A833" s="10" t="s">
        <v>142</v>
      </c>
      <c r="B833" s="10">
        <v>217250</v>
      </c>
      <c r="C833" s="10">
        <v>2086.8000000000002</v>
      </c>
    </row>
    <row r="834" spans="1:3" x14ac:dyDescent="0.25">
      <c r="A834" s="10" t="s">
        <v>142</v>
      </c>
      <c r="B834" s="10">
        <v>217500</v>
      </c>
      <c r="C834" s="10">
        <v>2092.3000000000002</v>
      </c>
    </row>
    <row r="835" spans="1:3" x14ac:dyDescent="0.25">
      <c r="A835" s="10" t="s">
        <v>142</v>
      </c>
      <c r="B835" s="10">
        <v>217750</v>
      </c>
      <c r="C835" s="10">
        <v>2094.9</v>
      </c>
    </row>
    <row r="836" spans="1:3" x14ac:dyDescent="0.25">
      <c r="A836" s="10" t="s">
        <v>142</v>
      </c>
      <c r="B836" s="10">
        <v>218000</v>
      </c>
      <c r="C836" s="10">
        <v>2097.8000000000002</v>
      </c>
    </row>
    <row r="837" spans="1:3" x14ac:dyDescent="0.25">
      <c r="A837" s="10" t="s">
        <v>142</v>
      </c>
      <c r="B837" s="10">
        <v>218250</v>
      </c>
      <c r="C837" s="10">
        <v>2103.3000000000002</v>
      </c>
    </row>
    <row r="838" spans="1:3" x14ac:dyDescent="0.25">
      <c r="A838" s="10" t="s">
        <v>142</v>
      </c>
      <c r="B838" s="10">
        <v>218500</v>
      </c>
      <c r="C838" s="10">
        <v>2107.6</v>
      </c>
    </row>
    <row r="839" spans="1:3" x14ac:dyDescent="0.25">
      <c r="A839" s="10" t="s">
        <v>142</v>
      </c>
      <c r="B839" s="10">
        <v>218750</v>
      </c>
      <c r="C839" s="10">
        <v>2113.3000000000002</v>
      </c>
    </row>
    <row r="840" spans="1:3" x14ac:dyDescent="0.25">
      <c r="A840" s="10" t="s">
        <v>142</v>
      </c>
      <c r="B840" s="10">
        <v>219000</v>
      </c>
      <c r="C840" s="10">
        <v>2117.9</v>
      </c>
    </row>
    <row r="841" spans="1:3" x14ac:dyDescent="0.25">
      <c r="A841" s="10" t="s">
        <v>142</v>
      </c>
      <c r="B841" s="10">
        <v>219250</v>
      </c>
      <c r="C841" s="10">
        <v>2120.6999999999998</v>
      </c>
    </row>
    <row r="842" spans="1:3" x14ac:dyDescent="0.25">
      <c r="A842" s="10" t="s">
        <v>142</v>
      </c>
      <c r="B842" s="10">
        <v>219500</v>
      </c>
      <c r="C842" s="10">
        <v>2122.6</v>
      </c>
    </row>
    <row r="843" spans="1:3" x14ac:dyDescent="0.25">
      <c r="A843" s="10" t="s">
        <v>142</v>
      </c>
      <c r="B843" s="10">
        <v>219750</v>
      </c>
      <c r="C843" s="10">
        <v>2125.3000000000002</v>
      </c>
    </row>
    <row r="844" spans="1:3" x14ac:dyDescent="0.25">
      <c r="A844" s="10" t="s">
        <v>142</v>
      </c>
      <c r="B844" s="10">
        <v>220000</v>
      </c>
      <c r="C844" s="10">
        <v>2125.3000000000002</v>
      </c>
    </row>
    <row r="845" spans="1:3" x14ac:dyDescent="0.25">
      <c r="A845" s="10" t="s">
        <v>142</v>
      </c>
      <c r="B845" s="10">
        <v>220250</v>
      </c>
      <c r="C845" s="10">
        <v>2130.8000000000002</v>
      </c>
    </row>
    <row r="846" spans="1:3" x14ac:dyDescent="0.25">
      <c r="A846" s="10" t="s">
        <v>142</v>
      </c>
      <c r="B846" s="10">
        <v>220500</v>
      </c>
      <c r="C846" s="10">
        <v>2133.6</v>
      </c>
    </row>
    <row r="847" spans="1:3" x14ac:dyDescent="0.25">
      <c r="A847" s="10" t="s">
        <v>142</v>
      </c>
      <c r="B847" s="10">
        <v>220750</v>
      </c>
      <c r="C847" s="10">
        <v>2133.6</v>
      </c>
    </row>
    <row r="848" spans="1:3" x14ac:dyDescent="0.25">
      <c r="A848" s="10" t="s">
        <v>142</v>
      </c>
      <c r="B848" s="10">
        <v>221000</v>
      </c>
      <c r="C848" s="10">
        <v>2138.1999999999998</v>
      </c>
    </row>
    <row r="849" spans="1:3" x14ac:dyDescent="0.25">
      <c r="A849" s="10" t="s">
        <v>142</v>
      </c>
      <c r="B849" s="10">
        <v>221250</v>
      </c>
      <c r="C849" s="10">
        <v>2142.9</v>
      </c>
    </row>
    <row r="850" spans="1:3" x14ac:dyDescent="0.25">
      <c r="A850" s="10" t="s">
        <v>142</v>
      </c>
      <c r="B850" s="10">
        <v>221500</v>
      </c>
      <c r="C850" s="10">
        <v>2145.6</v>
      </c>
    </row>
    <row r="851" spans="1:3" x14ac:dyDescent="0.25">
      <c r="A851" s="10" t="s">
        <v>142</v>
      </c>
      <c r="B851" s="10">
        <v>221750</v>
      </c>
      <c r="C851" s="10">
        <v>2151.3000000000002</v>
      </c>
    </row>
    <row r="852" spans="1:3" x14ac:dyDescent="0.25">
      <c r="A852" s="10" t="s">
        <v>142</v>
      </c>
      <c r="B852" s="10">
        <v>222000</v>
      </c>
      <c r="C852" s="10">
        <v>2156</v>
      </c>
    </row>
    <row r="853" spans="1:3" x14ac:dyDescent="0.25">
      <c r="A853" s="10" t="s">
        <v>142</v>
      </c>
      <c r="B853" s="10">
        <v>222250</v>
      </c>
      <c r="C853" s="10">
        <v>2159.9</v>
      </c>
    </row>
    <row r="854" spans="1:3" x14ac:dyDescent="0.25">
      <c r="A854" s="10" t="s">
        <v>142</v>
      </c>
      <c r="B854" s="10">
        <v>222500</v>
      </c>
      <c r="C854" s="10">
        <v>2163.9</v>
      </c>
    </row>
    <row r="855" spans="1:3" x14ac:dyDescent="0.25">
      <c r="A855" s="10" t="s">
        <v>142</v>
      </c>
      <c r="B855" s="10">
        <v>222750</v>
      </c>
      <c r="C855" s="10">
        <v>2169.4</v>
      </c>
    </row>
    <row r="856" spans="1:3" x14ac:dyDescent="0.25">
      <c r="A856" s="10" t="s">
        <v>142</v>
      </c>
      <c r="B856" s="10">
        <v>223000</v>
      </c>
      <c r="C856" s="10">
        <v>2174.9</v>
      </c>
    </row>
    <row r="857" spans="1:3" x14ac:dyDescent="0.25">
      <c r="A857" s="10" t="s">
        <v>142</v>
      </c>
      <c r="B857" s="10">
        <v>223250</v>
      </c>
      <c r="C857" s="10">
        <v>2174.9</v>
      </c>
    </row>
    <row r="858" spans="1:3" x14ac:dyDescent="0.25">
      <c r="A858" s="10" t="s">
        <v>142</v>
      </c>
      <c r="B858" s="10">
        <v>223500</v>
      </c>
      <c r="C858" s="10">
        <v>2180.4</v>
      </c>
    </row>
    <row r="859" spans="1:3" x14ac:dyDescent="0.25">
      <c r="A859" s="10" t="s">
        <v>142</v>
      </c>
      <c r="B859" s="10">
        <v>223750</v>
      </c>
      <c r="C859" s="10">
        <v>2185.9</v>
      </c>
    </row>
    <row r="860" spans="1:3" x14ac:dyDescent="0.25">
      <c r="A860" s="10" t="s">
        <v>142</v>
      </c>
      <c r="B860" s="10">
        <v>224000</v>
      </c>
      <c r="C860" s="10">
        <v>2191.4</v>
      </c>
    </row>
    <row r="861" spans="1:3" x14ac:dyDescent="0.25">
      <c r="A861" s="10" t="s">
        <v>142</v>
      </c>
      <c r="B861" s="10">
        <v>224250</v>
      </c>
      <c r="C861" s="10">
        <v>2194.1999999999998</v>
      </c>
    </row>
    <row r="862" spans="1:3" x14ac:dyDescent="0.25">
      <c r="A862" s="10" t="s">
        <v>142</v>
      </c>
      <c r="B862" s="10">
        <v>224500</v>
      </c>
      <c r="C862" s="10">
        <v>2196.9</v>
      </c>
    </row>
    <row r="863" spans="1:3" x14ac:dyDescent="0.25">
      <c r="A863" s="10" t="s">
        <v>142</v>
      </c>
      <c r="B863" s="10">
        <v>224750</v>
      </c>
      <c r="C863" s="10">
        <v>2202.4</v>
      </c>
    </row>
    <row r="864" spans="1:3" x14ac:dyDescent="0.25">
      <c r="A864" s="10" t="s">
        <v>142</v>
      </c>
      <c r="B864" s="10">
        <v>225000</v>
      </c>
      <c r="C864" s="10">
        <v>2202.4</v>
      </c>
    </row>
    <row r="865" spans="1:3" x14ac:dyDescent="0.25">
      <c r="A865" s="10" t="s">
        <v>142</v>
      </c>
      <c r="B865" s="10">
        <v>225250</v>
      </c>
      <c r="C865" s="10">
        <v>2207.9</v>
      </c>
    </row>
    <row r="866" spans="1:3" x14ac:dyDescent="0.25">
      <c r="A866" s="10" t="s">
        <v>142</v>
      </c>
      <c r="B866" s="10">
        <v>225500</v>
      </c>
      <c r="C866" s="10">
        <v>2213.4</v>
      </c>
    </row>
    <row r="867" spans="1:3" x14ac:dyDescent="0.25">
      <c r="A867" s="10" t="s">
        <v>142</v>
      </c>
      <c r="B867" s="10">
        <v>225750</v>
      </c>
      <c r="C867" s="10">
        <v>2216.1999999999998</v>
      </c>
    </row>
    <row r="868" spans="1:3" x14ac:dyDescent="0.25">
      <c r="A868" s="10" t="s">
        <v>142</v>
      </c>
      <c r="B868" s="10">
        <v>226000</v>
      </c>
      <c r="C868" s="10">
        <v>2218.9</v>
      </c>
    </row>
    <row r="869" spans="1:3" x14ac:dyDescent="0.25">
      <c r="A869" s="10" t="s">
        <v>142</v>
      </c>
      <c r="B869" s="10">
        <v>226250</v>
      </c>
      <c r="C869" s="10">
        <v>2224.4</v>
      </c>
    </row>
    <row r="870" spans="1:3" x14ac:dyDescent="0.25">
      <c r="A870" s="10" t="s">
        <v>142</v>
      </c>
      <c r="B870" s="10">
        <v>226500</v>
      </c>
      <c r="C870" s="10">
        <v>2230</v>
      </c>
    </row>
    <row r="871" spans="1:3" x14ac:dyDescent="0.25">
      <c r="A871" s="10" t="s">
        <v>142</v>
      </c>
      <c r="B871" s="10">
        <v>226750</v>
      </c>
      <c r="C871" s="10">
        <v>2235.5</v>
      </c>
    </row>
    <row r="872" spans="1:3" x14ac:dyDescent="0.25">
      <c r="A872" s="10" t="s">
        <v>142</v>
      </c>
      <c r="B872" s="10">
        <v>227000</v>
      </c>
      <c r="C872" s="10">
        <v>2238.1999999999998</v>
      </c>
    </row>
    <row r="873" spans="1:3" x14ac:dyDescent="0.25">
      <c r="A873" s="10" t="s">
        <v>142</v>
      </c>
      <c r="B873" s="10">
        <v>227250</v>
      </c>
      <c r="C873" s="10">
        <v>2241</v>
      </c>
    </row>
    <row r="874" spans="1:3" x14ac:dyDescent="0.25">
      <c r="A874" s="10" t="s">
        <v>142</v>
      </c>
      <c r="B874" s="10">
        <v>227500</v>
      </c>
      <c r="C874" s="10">
        <v>2246.5</v>
      </c>
    </row>
    <row r="875" spans="1:3" x14ac:dyDescent="0.25">
      <c r="A875" s="10" t="s">
        <v>142</v>
      </c>
      <c r="B875" s="10">
        <v>227750</v>
      </c>
      <c r="C875" s="10">
        <v>2252</v>
      </c>
    </row>
    <row r="876" spans="1:3" x14ac:dyDescent="0.25">
      <c r="A876" s="10" t="s">
        <v>142</v>
      </c>
      <c r="B876" s="10">
        <v>228000</v>
      </c>
      <c r="C876" s="10">
        <v>2257.5</v>
      </c>
    </row>
    <row r="877" spans="1:3" x14ac:dyDescent="0.25">
      <c r="A877" s="10" t="s">
        <v>142</v>
      </c>
      <c r="B877" s="10">
        <v>228250</v>
      </c>
      <c r="C877" s="10">
        <v>2263</v>
      </c>
    </row>
    <row r="878" spans="1:3" x14ac:dyDescent="0.25">
      <c r="A878" s="10" t="s">
        <v>142</v>
      </c>
      <c r="B878" s="10">
        <v>228500</v>
      </c>
      <c r="C878" s="10">
        <v>2265.6999999999998</v>
      </c>
    </row>
    <row r="879" spans="1:3" x14ac:dyDescent="0.25">
      <c r="A879" s="10" t="s">
        <v>142</v>
      </c>
      <c r="B879" s="10">
        <v>228750</v>
      </c>
      <c r="C879" s="10">
        <v>2271.3000000000002</v>
      </c>
    </row>
    <row r="880" spans="1:3" x14ac:dyDescent="0.25">
      <c r="A880" s="10" t="s">
        <v>142</v>
      </c>
      <c r="B880" s="10">
        <v>229000</v>
      </c>
      <c r="C880" s="10">
        <v>2274</v>
      </c>
    </row>
    <row r="881" spans="1:3" x14ac:dyDescent="0.25">
      <c r="A881" s="10" t="s">
        <v>142</v>
      </c>
      <c r="B881" s="10">
        <v>229250</v>
      </c>
      <c r="C881" s="10">
        <v>2279.5</v>
      </c>
    </row>
    <row r="882" spans="1:3" x14ac:dyDescent="0.25">
      <c r="A882" s="10" t="s">
        <v>142</v>
      </c>
      <c r="B882" s="10">
        <v>229500</v>
      </c>
      <c r="C882" s="10">
        <v>2285</v>
      </c>
    </row>
    <row r="883" spans="1:3" x14ac:dyDescent="0.25">
      <c r="A883" s="10" t="s">
        <v>142</v>
      </c>
      <c r="B883" s="10">
        <v>229750</v>
      </c>
      <c r="C883" s="10">
        <v>2287.8000000000002</v>
      </c>
    </row>
    <row r="884" spans="1:3" x14ac:dyDescent="0.25">
      <c r="A884" s="10" t="s">
        <v>142</v>
      </c>
      <c r="B884" s="10">
        <v>230000</v>
      </c>
      <c r="C884" s="10">
        <v>2290.5</v>
      </c>
    </row>
    <row r="885" spans="1:3" x14ac:dyDescent="0.25">
      <c r="A885" s="10" t="s">
        <v>142</v>
      </c>
      <c r="B885" s="10">
        <v>230250</v>
      </c>
      <c r="C885" s="10">
        <v>2296</v>
      </c>
    </row>
    <row r="886" spans="1:3" x14ac:dyDescent="0.25">
      <c r="A886" s="10" t="s">
        <v>142</v>
      </c>
      <c r="B886" s="10">
        <v>230500</v>
      </c>
      <c r="C886" s="10">
        <v>2301.5</v>
      </c>
    </row>
    <row r="887" spans="1:3" x14ac:dyDescent="0.25">
      <c r="A887" s="10" t="s">
        <v>142</v>
      </c>
      <c r="B887" s="10">
        <v>230750</v>
      </c>
      <c r="C887" s="10">
        <v>2307</v>
      </c>
    </row>
    <row r="888" spans="1:3" x14ac:dyDescent="0.25">
      <c r="A888" s="10" t="s">
        <v>142</v>
      </c>
      <c r="B888" s="10">
        <v>231000</v>
      </c>
      <c r="C888" s="10">
        <v>2318.1</v>
      </c>
    </row>
    <row r="889" spans="1:3" x14ac:dyDescent="0.25">
      <c r="A889" s="10" t="s">
        <v>142</v>
      </c>
      <c r="B889" s="10">
        <v>231250</v>
      </c>
      <c r="C889" s="10">
        <v>2326.3000000000002</v>
      </c>
    </row>
    <row r="890" spans="1:3" x14ac:dyDescent="0.25">
      <c r="A890" s="10" t="s">
        <v>142</v>
      </c>
      <c r="B890" s="10">
        <v>231500</v>
      </c>
      <c r="C890" s="10">
        <v>2340.1</v>
      </c>
    </row>
    <row r="891" spans="1:3" x14ac:dyDescent="0.25">
      <c r="A891" s="10" t="s">
        <v>142</v>
      </c>
      <c r="B891" s="10">
        <v>231750</v>
      </c>
      <c r="C891" s="10">
        <v>2351.1</v>
      </c>
    </row>
    <row r="892" spans="1:3" x14ac:dyDescent="0.25">
      <c r="A892" s="10" t="s">
        <v>142</v>
      </c>
      <c r="B892" s="10">
        <v>232000</v>
      </c>
      <c r="C892" s="10">
        <v>2362.1</v>
      </c>
    </row>
    <row r="893" spans="1:3" x14ac:dyDescent="0.25">
      <c r="A893" s="10" t="s">
        <v>142</v>
      </c>
      <c r="B893" s="10">
        <v>232250</v>
      </c>
      <c r="C893" s="10">
        <v>2375.9</v>
      </c>
    </row>
    <row r="894" spans="1:3" x14ac:dyDescent="0.25">
      <c r="A894" s="10" t="s">
        <v>142</v>
      </c>
      <c r="B894" s="10">
        <v>232500</v>
      </c>
      <c r="C894" s="10">
        <v>2389.6999999999998</v>
      </c>
    </row>
    <row r="895" spans="1:3" x14ac:dyDescent="0.25">
      <c r="A895" s="10" t="s">
        <v>142</v>
      </c>
      <c r="B895" s="10">
        <v>232750</v>
      </c>
      <c r="C895" s="10">
        <v>2400.6999999999998</v>
      </c>
    </row>
    <row r="896" spans="1:3" x14ac:dyDescent="0.25">
      <c r="A896" s="10" t="s">
        <v>142</v>
      </c>
      <c r="B896" s="10">
        <v>233000</v>
      </c>
      <c r="C896" s="10">
        <v>2406.6</v>
      </c>
    </row>
    <row r="897" spans="1:3" x14ac:dyDescent="0.25">
      <c r="A897" s="10" t="s">
        <v>142</v>
      </c>
      <c r="B897" s="10">
        <v>233250</v>
      </c>
      <c r="C897" s="10">
        <v>2416.1</v>
      </c>
    </row>
    <row r="898" spans="1:3" x14ac:dyDescent="0.25">
      <c r="A898" s="10" t="s">
        <v>142</v>
      </c>
      <c r="B898" s="10">
        <v>233500</v>
      </c>
      <c r="C898" s="10">
        <v>2420.8000000000002</v>
      </c>
    </row>
    <row r="899" spans="1:3" x14ac:dyDescent="0.25">
      <c r="A899" s="10" t="s">
        <v>142</v>
      </c>
      <c r="B899" s="10">
        <v>233750</v>
      </c>
      <c r="C899" s="10">
        <v>2425.5</v>
      </c>
    </row>
    <row r="900" spans="1:3" x14ac:dyDescent="0.25">
      <c r="A900" s="10" t="s">
        <v>142</v>
      </c>
      <c r="B900" s="10">
        <v>234000</v>
      </c>
      <c r="C900" s="10">
        <v>2428.1999999999998</v>
      </c>
    </row>
    <row r="901" spans="1:3" x14ac:dyDescent="0.25">
      <c r="A901" s="10" t="s">
        <v>142</v>
      </c>
      <c r="B901" s="10">
        <v>234250</v>
      </c>
      <c r="C901" s="10">
        <v>2431</v>
      </c>
    </row>
    <row r="902" spans="1:3" x14ac:dyDescent="0.25">
      <c r="A902" s="10" t="s">
        <v>142</v>
      </c>
      <c r="B902" s="10">
        <v>234500</v>
      </c>
      <c r="C902" s="10">
        <v>2436.5</v>
      </c>
    </row>
    <row r="903" spans="1:3" x14ac:dyDescent="0.25">
      <c r="A903" s="10" t="s">
        <v>142</v>
      </c>
      <c r="B903" s="10">
        <v>234750</v>
      </c>
      <c r="C903" s="10">
        <v>2439.1999999999998</v>
      </c>
    </row>
    <row r="904" spans="1:3" x14ac:dyDescent="0.25">
      <c r="A904" s="10" t="s">
        <v>142</v>
      </c>
      <c r="B904" s="10">
        <v>235000</v>
      </c>
      <c r="C904" s="10">
        <v>2442</v>
      </c>
    </row>
    <row r="905" spans="1:3" x14ac:dyDescent="0.25">
      <c r="A905" s="10" t="s">
        <v>142</v>
      </c>
      <c r="B905" s="10">
        <v>235250</v>
      </c>
      <c r="C905" s="10">
        <v>2444.6999999999998</v>
      </c>
    </row>
    <row r="906" spans="1:3" x14ac:dyDescent="0.25">
      <c r="A906" s="10" t="s">
        <v>142</v>
      </c>
      <c r="B906" s="10">
        <v>235500</v>
      </c>
      <c r="C906" s="10">
        <v>2449.4</v>
      </c>
    </row>
    <row r="907" spans="1:3" x14ac:dyDescent="0.25">
      <c r="A907" s="10" t="s">
        <v>142</v>
      </c>
      <c r="B907" s="10">
        <v>235750</v>
      </c>
      <c r="C907" s="10">
        <v>2457.8000000000002</v>
      </c>
    </row>
    <row r="908" spans="1:3" x14ac:dyDescent="0.25">
      <c r="A908" s="10" t="s">
        <v>142</v>
      </c>
      <c r="B908" s="10">
        <v>236000</v>
      </c>
      <c r="C908" s="10">
        <v>2466.8000000000002</v>
      </c>
    </row>
    <row r="909" spans="1:3" x14ac:dyDescent="0.25">
      <c r="A909" s="10" t="s">
        <v>142</v>
      </c>
      <c r="B909" s="10">
        <v>236250</v>
      </c>
      <c r="C909" s="10">
        <v>2472.3000000000002</v>
      </c>
    </row>
    <row r="910" spans="1:3" x14ac:dyDescent="0.25">
      <c r="A910" s="10" t="s">
        <v>142</v>
      </c>
      <c r="B910" s="10">
        <v>236500</v>
      </c>
      <c r="C910" s="10">
        <v>2477.8000000000002</v>
      </c>
    </row>
    <row r="911" spans="1:3" x14ac:dyDescent="0.25">
      <c r="A911" s="10" t="s">
        <v>142</v>
      </c>
      <c r="B911" s="10">
        <v>236750</v>
      </c>
      <c r="C911" s="10">
        <v>2483.3000000000002</v>
      </c>
    </row>
    <row r="912" spans="1:3" x14ac:dyDescent="0.25">
      <c r="A912" s="10" t="s">
        <v>142</v>
      </c>
      <c r="B912" s="10">
        <v>237000</v>
      </c>
      <c r="C912" s="10">
        <v>2486</v>
      </c>
    </row>
    <row r="913" spans="1:3" x14ac:dyDescent="0.25">
      <c r="A913" s="10" t="s">
        <v>142</v>
      </c>
      <c r="B913" s="10">
        <v>237250</v>
      </c>
      <c r="C913" s="10">
        <v>2491.5</v>
      </c>
    </row>
    <row r="914" spans="1:3" x14ac:dyDescent="0.25">
      <c r="A914" s="10" t="s">
        <v>142</v>
      </c>
      <c r="B914" s="10">
        <v>237500</v>
      </c>
      <c r="C914" s="10">
        <v>2499.8000000000002</v>
      </c>
    </row>
    <row r="915" spans="1:3" x14ac:dyDescent="0.25">
      <c r="A915" s="10" t="s">
        <v>142</v>
      </c>
      <c r="B915" s="10">
        <v>237750</v>
      </c>
      <c r="C915" s="10">
        <v>2505.3000000000002</v>
      </c>
    </row>
    <row r="916" spans="1:3" x14ac:dyDescent="0.25">
      <c r="A916" s="10" t="s">
        <v>142</v>
      </c>
      <c r="B916" s="10">
        <v>238000</v>
      </c>
      <c r="C916" s="10">
        <v>2513.6</v>
      </c>
    </row>
    <row r="917" spans="1:3" x14ac:dyDescent="0.25">
      <c r="A917" s="10" t="s">
        <v>142</v>
      </c>
      <c r="B917" s="10">
        <v>238250</v>
      </c>
      <c r="C917" s="10">
        <v>2527.3000000000002</v>
      </c>
    </row>
    <row r="918" spans="1:3" x14ac:dyDescent="0.25">
      <c r="A918" s="10" t="s">
        <v>142</v>
      </c>
      <c r="B918" s="10">
        <v>238500</v>
      </c>
      <c r="C918" s="10">
        <v>2538.3000000000002</v>
      </c>
    </row>
    <row r="919" spans="1:3" x14ac:dyDescent="0.25">
      <c r="A919" s="10" t="s">
        <v>142</v>
      </c>
      <c r="B919" s="10">
        <v>238750</v>
      </c>
      <c r="C919" s="10">
        <v>2552.1</v>
      </c>
    </row>
    <row r="920" spans="1:3" x14ac:dyDescent="0.25">
      <c r="A920" s="10" t="s">
        <v>142</v>
      </c>
      <c r="B920" s="10">
        <v>239000</v>
      </c>
      <c r="C920" s="10">
        <v>2560.4</v>
      </c>
    </row>
    <row r="921" spans="1:3" x14ac:dyDescent="0.25">
      <c r="A921" s="10" t="s">
        <v>142</v>
      </c>
      <c r="B921" s="10">
        <v>239250</v>
      </c>
      <c r="C921" s="10">
        <v>2574.1</v>
      </c>
    </row>
    <row r="922" spans="1:3" x14ac:dyDescent="0.25">
      <c r="A922" s="10" t="s">
        <v>142</v>
      </c>
      <c r="B922" s="10">
        <v>239500</v>
      </c>
      <c r="C922" s="10">
        <v>2579.6</v>
      </c>
    </row>
    <row r="923" spans="1:3" x14ac:dyDescent="0.25">
      <c r="A923" s="10" t="s">
        <v>142</v>
      </c>
      <c r="B923" s="10">
        <v>239750</v>
      </c>
      <c r="C923" s="10">
        <v>2585.1999999999998</v>
      </c>
    </row>
    <row r="924" spans="1:3" x14ac:dyDescent="0.25">
      <c r="A924" s="10" t="s">
        <v>142</v>
      </c>
      <c r="B924" s="10">
        <v>240000</v>
      </c>
      <c r="C924" s="10">
        <v>2593.4</v>
      </c>
    </row>
    <row r="925" spans="1:3" x14ac:dyDescent="0.25">
      <c r="A925" s="10" t="s">
        <v>142</v>
      </c>
      <c r="B925" s="10">
        <v>240250</v>
      </c>
      <c r="C925" s="10">
        <v>2598.9</v>
      </c>
    </row>
    <row r="926" spans="1:3" x14ac:dyDescent="0.25">
      <c r="A926" s="10" t="s">
        <v>142</v>
      </c>
      <c r="B926" s="10">
        <v>240500</v>
      </c>
      <c r="C926" s="10">
        <v>2604.4</v>
      </c>
    </row>
    <row r="927" spans="1:3" x14ac:dyDescent="0.25">
      <c r="A927" s="10" t="s">
        <v>142</v>
      </c>
      <c r="B927" s="10">
        <v>240750</v>
      </c>
      <c r="C927" s="10">
        <v>2609.9</v>
      </c>
    </row>
    <row r="928" spans="1:3" x14ac:dyDescent="0.25">
      <c r="A928" s="10" t="s">
        <v>142</v>
      </c>
      <c r="B928" s="10">
        <v>241000</v>
      </c>
      <c r="C928" s="10">
        <v>2615.4</v>
      </c>
    </row>
    <row r="929" spans="1:3" x14ac:dyDescent="0.25">
      <c r="A929" s="10" t="s">
        <v>142</v>
      </c>
      <c r="B929" s="10">
        <v>241250</v>
      </c>
      <c r="C929" s="10">
        <v>2621</v>
      </c>
    </row>
    <row r="930" spans="1:3" x14ac:dyDescent="0.25">
      <c r="A930" s="10" t="s">
        <v>142</v>
      </c>
      <c r="B930" s="10">
        <v>241500</v>
      </c>
      <c r="C930" s="10">
        <v>2626.5</v>
      </c>
    </row>
    <row r="931" spans="1:3" x14ac:dyDescent="0.25">
      <c r="A931" s="10" t="s">
        <v>142</v>
      </c>
      <c r="B931" s="10">
        <v>241750</v>
      </c>
      <c r="C931" s="10">
        <v>2632</v>
      </c>
    </row>
    <row r="932" spans="1:3" x14ac:dyDescent="0.25">
      <c r="A932" s="10" t="s">
        <v>142</v>
      </c>
      <c r="B932" s="10">
        <v>242000</v>
      </c>
      <c r="C932" s="10">
        <v>2640.2</v>
      </c>
    </row>
    <row r="933" spans="1:3" x14ac:dyDescent="0.25">
      <c r="A933" s="10" t="s">
        <v>142</v>
      </c>
      <c r="B933" s="10">
        <v>242250</v>
      </c>
      <c r="C933" s="10">
        <v>2643</v>
      </c>
    </row>
    <row r="934" spans="1:3" x14ac:dyDescent="0.25">
      <c r="A934" s="10" t="s">
        <v>142</v>
      </c>
      <c r="B934" s="10">
        <v>242500</v>
      </c>
      <c r="C934" s="10">
        <v>2651.2</v>
      </c>
    </row>
    <row r="935" spans="1:3" x14ac:dyDescent="0.25">
      <c r="A935" s="10" t="s">
        <v>142</v>
      </c>
      <c r="B935" s="10">
        <v>242750</v>
      </c>
      <c r="C935" s="10">
        <v>2656.7</v>
      </c>
    </row>
    <row r="936" spans="1:3" x14ac:dyDescent="0.25">
      <c r="A936" s="10" t="s">
        <v>142</v>
      </c>
      <c r="B936" s="10">
        <v>243000</v>
      </c>
      <c r="C936" s="10">
        <v>2662.3</v>
      </c>
    </row>
    <row r="937" spans="1:3" x14ac:dyDescent="0.25">
      <c r="A937" s="10" t="s">
        <v>142</v>
      </c>
      <c r="B937" s="10">
        <v>243250</v>
      </c>
      <c r="C937" s="10">
        <v>2667.8</v>
      </c>
    </row>
    <row r="938" spans="1:3" x14ac:dyDescent="0.25">
      <c r="A938" s="10" t="s">
        <v>142</v>
      </c>
      <c r="B938" s="10">
        <v>243500</v>
      </c>
      <c r="C938" s="10">
        <v>2673.3</v>
      </c>
    </row>
    <row r="939" spans="1:3" x14ac:dyDescent="0.25">
      <c r="A939" s="10" t="s">
        <v>142</v>
      </c>
      <c r="B939" s="10">
        <v>243750</v>
      </c>
      <c r="C939" s="10">
        <v>2681.5</v>
      </c>
    </row>
    <row r="940" spans="1:3" x14ac:dyDescent="0.25">
      <c r="A940" s="10" t="s">
        <v>142</v>
      </c>
      <c r="B940" s="10">
        <v>244000</v>
      </c>
      <c r="C940" s="10">
        <v>2684.3</v>
      </c>
    </row>
    <row r="941" spans="1:3" x14ac:dyDescent="0.25">
      <c r="A941" s="10" t="s">
        <v>142</v>
      </c>
      <c r="B941" s="10">
        <v>244250</v>
      </c>
      <c r="C941" s="10">
        <v>2692.5</v>
      </c>
    </row>
    <row r="942" spans="1:3" x14ac:dyDescent="0.25">
      <c r="A942" s="10" t="s">
        <v>142</v>
      </c>
      <c r="B942" s="10">
        <v>244500</v>
      </c>
      <c r="C942" s="10">
        <v>2701.1</v>
      </c>
    </row>
    <row r="943" spans="1:3" x14ac:dyDescent="0.25">
      <c r="A943" s="10" t="s">
        <v>142</v>
      </c>
      <c r="B943" s="10">
        <v>244750</v>
      </c>
      <c r="C943" s="10">
        <v>2712.3</v>
      </c>
    </row>
    <row r="944" spans="1:3" x14ac:dyDescent="0.25">
      <c r="A944" s="10" t="s">
        <v>142</v>
      </c>
      <c r="B944" s="10">
        <v>245000</v>
      </c>
      <c r="C944" s="10">
        <v>2723.4</v>
      </c>
    </row>
    <row r="945" spans="1:3" x14ac:dyDescent="0.25">
      <c r="A945" s="10" t="s">
        <v>142</v>
      </c>
      <c r="B945" s="10">
        <v>245250</v>
      </c>
      <c r="C945" s="10">
        <v>2739.4</v>
      </c>
    </row>
    <row r="946" spans="1:3" x14ac:dyDescent="0.25">
      <c r="A946" s="10" t="s">
        <v>142</v>
      </c>
      <c r="B946" s="10">
        <v>245500</v>
      </c>
      <c r="C946" s="10">
        <v>2749.5</v>
      </c>
    </row>
    <row r="947" spans="1:3" x14ac:dyDescent="0.25">
      <c r="A947" s="10" t="s">
        <v>142</v>
      </c>
      <c r="B947" s="10">
        <v>245750</v>
      </c>
      <c r="C947" s="10">
        <v>2762.6</v>
      </c>
    </row>
    <row r="948" spans="1:3" x14ac:dyDescent="0.25">
      <c r="A948" s="10" t="s">
        <v>142</v>
      </c>
      <c r="B948" s="10">
        <v>246000</v>
      </c>
      <c r="C948" s="10">
        <v>2773.8</v>
      </c>
    </row>
    <row r="949" spans="1:3" x14ac:dyDescent="0.25">
      <c r="A949" s="10" t="s">
        <v>142</v>
      </c>
      <c r="B949" s="10">
        <v>246250</v>
      </c>
      <c r="C949" s="10">
        <v>2786.9</v>
      </c>
    </row>
    <row r="950" spans="1:3" x14ac:dyDescent="0.25">
      <c r="A950" s="10" t="s">
        <v>142</v>
      </c>
      <c r="B950" s="10">
        <v>246500</v>
      </c>
      <c r="C950" s="10">
        <v>2798.1</v>
      </c>
    </row>
    <row r="951" spans="1:3" x14ac:dyDescent="0.25">
      <c r="A951" s="10" t="s">
        <v>142</v>
      </c>
      <c r="B951" s="10">
        <v>246750</v>
      </c>
      <c r="C951" s="10">
        <v>2807.5</v>
      </c>
    </row>
    <row r="952" spans="1:3" x14ac:dyDescent="0.25">
      <c r="A952" s="10" t="s">
        <v>142</v>
      </c>
      <c r="B952" s="10">
        <v>247000</v>
      </c>
      <c r="C952" s="10">
        <v>2819.2</v>
      </c>
    </row>
    <row r="953" spans="1:3" x14ac:dyDescent="0.25">
      <c r="A953" s="10" t="s">
        <v>142</v>
      </c>
      <c r="B953" s="10">
        <v>247250</v>
      </c>
      <c r="C953" s="10">
        <v>2830.2</v>
      </c>
    </row>
    <row r="954" spans="1:3" x14ac:dyDescent="0.25">
      <c r="A954" s="10" t="s">
        <v>142</v>
      </c>
      <c r="B954" s="10">
        <v>247500</v>
      </c>
      <c r="C954" s="10">
        <v>2841.2</v>
      </c>
    </row>
    <row r="955" spans="1:3" x14ac:dyDescent="0.25">
      <c r="A955" s="10" t="s">
        <v>142</v>
      </c>
      <c r="B955" s="10">
        <v>247750</v>
      </c>
      <c r="C955" s="10">
        <v>2855.9</v>
      </c>
    </row>
    <row r="956" spans="1:3" x14ac:dyDescent="0.25">
      <c r="A956" s="10" t="s">
        <v>142</v>
      </c>
      <c r="B956" s="10">
        <v>248000</v>
      </c>
      <c r="C956" s="10">
        <v>2860.5</v>
      </c>
    </row>
    <row r="957" spans="1:3" x14ac:dyDescent="0.25">
      <c r="A957" s="10" t="s">
        <v>142</v>
      </c>
      <c r="B957" s="10">
        <v>248250</v>
      </c>
      <c r="C957" s="10">
        <v>2866</v>
      </c>
    </row>
    <row r="958" spans="1:3" x14ac:dyDescent="0.25">
      <c r="A958" s="10" t="s">
        <v>142</v>
      </c>
      <c r="B958" s="10">
        <v>248500</v>
      </c>
      <c r="C958" s="10">
        <v>2868.8</v>
      </c>
    </row>
    <row r="959" spans="1:3" x14ac:dyDescent="0.25">
      <c r="A959" s="10" t="s">
        <v>142</v>
      </c>
      <c r="B959" s="10">
        <v>248750</v>
      </c>
      <c r="C959" s="10">
        <v>2874.3</v>
      </c>
    </row>
    <row r="960" spans="1:3" x14ac:dyDescent="0.25">
      <c r="A960" s="10" t="s">
        <v>142</v>
      </c>
      <c r="B960" s="10">
        <v>249000</v>
      </c>
      <c r="C960" s="10">
        <v>2879.8</v>
      </c>
    </row>
    <row r="961" spans="1:3" x14ac:dyDescent="0.25">
      <c r="A961" s="10" t="s">
        <v>142</v>
      </c>
      <c r="B961" s="10">
        <v>249250</v>
      </c>
      <c r="C961" s="10">
        <v>2885.3</v>
      </c>
    </row>
    <row r="962" spans="1:3" x14ac:dyDescent="0.25">
      <c r="A962" s="10" t="s">
        <v>142</v>
      </c>
      <c r="B962" s="10">
        <v>249500</v>
      </c>
      <c r="C962" s="10">
        <v>2885.3</v>
      </c>
    </row>
    <row r="963" spans="1:3" x14ac:dyDescent="0.25">
      <c r="A963" s="10" t="s">
        <v>142</v>
      </c>
      <c r="B963" s="10">
        <v>249750</v>
      </c>
      <c r="C963" s="10">
        <v>2890.8</v>
      </c>
    </row>
    <row r="964" spans="1:3" x14ac:dyDescent="0.25">
      <c r="A964" s="10" t="s">
        <v>142</v>
      </c>
      <c r="B964" s="10">
        <v>250000</v>
      </c>
      <c r="C964" s="10">
        <v>2896.3</v>
      </c>
    </row>
    <row r="965" spans="1:3" x14ac:dyDescent="0.25">
      <c r="A965" s="10" t="s">
        <v>142</v>
      </c>
      <c r="B965" s="10">
        <v>250250</v>
      </c>
      <c r="C965" s="10">
        <v>2901.8</v>
      </c>
    </row>
    <row r="966" spans="1:3" x14ac:dyDescent="0.25">
      <c r="A966" s="10" t="s">
        <v>142</v>
      </c>
      <c r="B966" s="10">
        <v>250500</v>
      </c>
      <c r="C966" s="10">
        <v>2904.6</v>
      </c>
    </row>
    <row r="967" spans="1:3" x14ac:dyDescent="0.25">
      <c r="A967" s="10" t="s">
        <v>142</v>
      </c>
      <c r="B967" s="10">
        <v>250750</v>
      </c>
      <c r="C967" s="10">
        <v>2910.1</v>
      </c>
    </row>
    <row r="968" spans="1:3" x14ac:dyDescent="0.25">
      <c r="A968" s="10" t="s">
        <v>142</v>
      </c>
      <c r="B968" s="10">
        <v>251000</v>
      </c>
      <c r="C968" s="10">
        <v>2912.8</v>
      </c>
    </row>
    <row r="969" spans="1:3" x14ac:dyDescent="0.25">
      <c r="A969" s="10" t="s">
        <v>142</v>
      </c>
      <c r="B969" s="10">
        <v>251250</v>
      </c>
      <c r="C969" s="10">
        <v>2918.3</v>
      </c>
    </row>
    <row r="970" spans="1:3" x14ac:dyDescent="0.25">
      <c r="A970" s="10" t="s">
        <v>142</v>
      </c>
      <c r="B970" s="10">
        <v>251500</v>
      </c>
      <c r="C970" s="10">
        <v>2929.3</v>
      </c>
    </row>
    <row r="971" spans="1:3" x14ac:dyDescent="0.25">
      <c r="A971" s="10" t="s">
        <v>142</v>
      </c>
      <c r="B971" s="10">
        <v>251750</v>
      </c>
      <c r="C971" s="10">
        <v>2934.9</v>
      </c>
    </row>
    <row r="972" spans="1:3" x14ac:dyDescent="0.25">
      <c r="A972" s="10" t="s">
        <v>142</v>
      </c>
      <c r="B972" s="10">
        <v>252000</v>
      </c>
      <c r="C972" s="10">
        <v>2945.9</v>
      </c>
    </row>
    <row r="973" spans="1:3" x14ac:dyDescent="0.25">
      <c r="A973" s="10" t="s">
        <v>142</v>
      </c>
      <c r="B973" s="10">
        <v>252250</v>
      </c>
      <c r="C973" s="10">
        <v>2956.9</v>
      </c>
    </row>
    <row r="974" spans="1:3" x14ac:dyDescent="0.25">
      <c r="A974" s="10" t="s">
        <v>142</v>
      </c>
      <c r="B974" s="10">
        <v>252500</v>
      </c>
      <c r="C974" s="10">
        <v>2965.1</v>
      </c>
    </row>
    <row r="975" spans="1:3" x14ac:dyDescent="0.25">
      <c r="A975" s="10" t="s">
        <v>142</v>
      </c>
      <c r="B975" s="10">
        <v>252750</v>
      </c>
      <c r="C975" s="10">
        <v>2973.4</v>
      </c>
    </row>
    <row r="976" spans="1:3" x14ac:dyDescent="0.25">
      <c r="A976" s="10" t="s">
        <v>142</v>
      </c>
      <c r="B976" s="10">
        <v>253000</v>
      </c>
      <c r="C976" s="10">
        <v>2987.2</v>
      </c>
    </row>
    <row r="977" spans="1:3" x14ac:dyDescent="0.25">
      <c r="A977" s="10" t="s">
        <v>142</v>
      </c>
      <c r="B977" s="10">
        <v>253250</v>
      </c>
      <c r="C977" s="10">
        <v>2998.2</v>
      </c>
    </row>
    <row r="978" spans="1:3" x14ac:dyDescent="0.25">
      <c r="A978" s="10" t="s">
        <v>142</v>
      </c>
      <c r="B978" s="10">
        <v>253500</v>
      </c>
      <c r="C978" s="10">
        <v>3006.4</v>
      </c>
    </row>
    <row r="979" spans="1:3" x14ac:dyDescent="0.25">
      <c r="A979" s="10" t="s">
        <v>142</v>
      </c>
      <c r="B979" s="10">
        <v>253750</v>
      </c>
      <c r="C979" s="10">
        <v>3014.7</v>
      </c>
    </row>
    <row r="980" spans="1:3" x14ac:dyDescent="0.25">
      <c r="A980" s="10" t="s">
        <v>142</v>
      </c>
      <c r="B980" s="10">
        <v>254000</v>
      </c>
      <c r="C980" s="10">
        <v>3017.5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Sheet4</vt:lpstr>
      <vt:lpstr>Model</vt:lpstr>
      <vt:lpstr>Calibration</vt:lpstr>
      <vt:lpstr>flap_unit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2022-04-17T18:18:59Z</dcterms:modified>
</cp:coreProperties>
</file>