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6c247306ac17a8/Electronics/WaterDepth/MPLab/"/>
    </mc:Choice>
  </mc:AlternateContent>
  <xr:revisionPtr revIDLastSave="2076" documentId="8_{D5577372-C86C-4D82-8064-17B7F6CCDC79}" xr6:coauthVersionLast="46" xr6:coauthVersionMax="46" xr10:uidLastSave="{934FB016-199D-4FA5-8BFF-0E186B10EF16}"/>
  <bookViews>
    <workbookView xWindow="420" yWindow="630" windowWidth="24015" windowHeight="13875" activeTab="5" xr2:uid="{F74B4C9F-63FB-481F-AF2D-B7801A753D4A}"/>
  </bookViews>
  <sheets>
    <sheet name="PMW Timing" sheetId="1" r:id="rId1"/>
    <sheet name="Timer Select" sheetId="4" r:id="rId2"/>
    <sheet name="Pin Defs" sheetId="5" r:id="rId3"/>
    <sheet name="Calcs" sheetId="8" r:id="rId4"/>
    <sheet name="TMR2 40Khz" sheetId="3" r:id="rId5"/>
    <sheet name="Parms" sheetId="2" r:id="rId6"/>
    <sheet name="Timer Settings" sheetId="6" r:id="rId7"/>
  </sheets>
  <definedNames>
    <definedName name="Abs_Zero_K">Parms!$B$9</definedName>
    <definedName name="Air_Temp">Parms!$B$6</definedName>
    <definedName name="d_CurrTemp">Calcs!$B$29</definedName>
    <definedName name="d_EmptySpace">Calcs!$B$33</definedName>
    <definedName name="d_mmPerTick">Calcs!$B$31</definedName>
    <definedName name="d_SOS">Calcs!$B$30</definedName>
    <definedName name="d_WaterHeight">Calcs!$B$34</definedName>
    <definedName name="Gals_per_mm3">Parms!$B$25</definedName>
    <definedName name="gc_AbsZero">Calcs!$B$17</definedName>
    <definedName name="gc_DefaultTemp">Calcs!$B$19</definedName>
    <definedName name="gc_GalsPer_mm3">Calcs!$B$18</definedName>
    <definedName name="gc_SOS_at_0">Calcs!$B$15</definedName>
    <definedName name="gc_TankDiam_In">Calcs!$B$22</definedName>
    <definedName name="gc_TankHeight_In">Calcs!$B$23</definedName>
    <definedName name="gc_TickPeriod">Calcs!$B$20</definedName>
    <definedName name="gd_TankGalsPer_mm">Calcs!$B$27</definedName>
    <definedName name="gd_TankHeight_mm">Calcs!$B$26</definedName>
    <definedName name="gd_TankSurfArea">Calcs!$B$25</definedName>
    <definedName name="gd_Temp">Calcs!#REF!</definedName>
    <definedName name="I_Clock">Parms!$B$3</definedName>
    <definedName name="P_Clock">Parms!$B$2</definedName>
    <definedName name="SOS">Parms!$B$7</definedName>
    <definedName name="SOS_at_0">Parms!$B$5</definedName>
    <definedName name="SOS_at_Temp">Calcs!$B$4</definedName>
    <definedName name="SOS_mmPSec">Parms!$B$8</definedName>
    <definedName name="TankDiam_In">Parms!$B$10</definedName>
    <definedName name="TankHeight_In">Parms!$B$11</definedName>
    <definedName name="TankSurfArea_mm2">Calcs!$B$5</definedName>
    <definedName name="TickPeriod_S">Parms!$B$15</definedName>
    <definedName name="TMR_2">Parms!$B$4</definedName>
    <definedName name="WaterVol_G_per_mm3">Parms!$B$12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8" l="1"/>
  <c r="B30" i="8" s="1"/>
  <c r="B4" i="8"/>
  <c r="B8" i="8" s="1"/>
  <c r="B3" i="8"/>
  <c r="B2" i="8"/>
  <c r="B7" i="2"/>
  <c r="B8" i="2" s="1"/>
  <c r="B26" i="8"/>
  <c r="B25" i="8"/>
  <c r="B20" i="8"/>
  <c r="B18" i="8"/>
  <c r="B10" i="8"/>
  <c r="B15" i="2"/>
  <c r="B5" i="8"/>
  <c r="B6" i="8" s="1"/>
  <c r="B7" i="8" s="1"/>
  <c r="X13" i="2"/>
  <c r="Y13" i="2"/>
  <c r="Z13" i="2"/>
  <c r="AA13" i="2"/>
  <c r="AB13" i="2"/>
  <c r="AC13" i="2"/>
  <c r="AD13" i="2"/>
  <c r="X14" i="2"/>
  <c r="Y14" i="2"/>
  <c r="Z14" i="2"/>
  <c r="AA14" i="2"/>
  <c r="AB14" i="2"/>
  <c r="AC14" i="2"/>
  <c r="AD14" i="2"/>
  <c r="X15" i="2"/>
  <c r="Y15" i="2"/>
  <c r="Z15" i="2"/>
  <c r="AA15" i="2"/>
  <c r="AB15" i="2"/>
  <c r="AC15" i="2"/>
  <c r="AD15" i="2"/>
  <c r="X16" i="2"/>
  <c r="Y16" i="2"/>
  <c r="Z16" i="2"/>
  <c r="AA16" i="2"/>
  <c r="AB16" i="2"/>
  <c r="AC16" i="2"/>
  <c r="AD16" i="2"/>
  <c r="X17" i="2"/>
  <c r="Y17" i="2"/>
  <c r="Z17" i="2"/>
  <c r="AA17" i="2"/>
  <c r="AB17" i="2"/>
  <c r="AC17" i="2"/>
  <c r="AD17" i="2"/>
  <c r="X18" i="2"/>
  <c r="Y18" i="2"/>
  <c r="Z18" i="2"/>
  <c r="AA18" i="2"/>
  <c r="AB18" i="2"/>
  <c r="AC18" i="2"/>
  <c r="AD18" i="2"/>
  <c r="W14" i="2"/>
  <c r="W15" i="2"/>
  <c r="W16" i="2"/>
  <c r="W17" i="2"/>
  <c r="W18" i="2"/>
  <c r="W13" i="2"/>
  <c r="V19" i="2"/>
  <c r="AD19" i="2" s="1"/>
  <c r="AC21" i="2"/>
  <c r="AE21" i="2" s="1"/>
  <c r="AF21" i="2" s="1"/>
  <c r="AF14" i="2"/>
  <c r="AF15" i="2"/>
  <c r="AF16" i="2"/>
  <c r="AE14" i="2"/>
  <c r="AE15" i="2"/>
  <c r="AE16" i="2"/>
  <c r="AE17" i="2"/>
  <c r="AF17" i="2" s="1"/>
  <c r="AE18" i="2"/>
  <c r="AF18" i="2" s="1"/>
  <c r="AE19" i="2"/>
  <c r="AF19" i="2" s="1"/>
  <c r="AE13" i="2"/>
  <c r="AF13" i="2" s="1"/>
  <c r="S4" i="2"/>
  <c r="S12" i="2" s="1"/>
  <c r="T4" i="2"/>
  <c r="T12" i="2" s="1"/>
  <c r="S5" i="2"/>
  <c r="S13" i="2" s="1"/>
  <c r="T5" i="2"/>
  <c r="T13" i="2" s="1"/>
  <c r="S6" i="2"/>
  <c r="S14" i="2" s="1"/>
  <c r="T6" i="2"/>
  <c r="T14" i="2" s="1"/>
  <c r="S7" i="2"/>
  <c r="S15" i="2" s="1"/>
  <c r="T7" i="2"/>
  <c r="T15" i="2" s="1"/>
  <c r="R5" i="2"/>
  <c r="R13" i="2" s="1"/>
  <c r="R6" i="2"/>
  <c r="R14" i="2" s="1"/>
  <c r="R7" i="2"/>
  <c r="R15" i="2" s="1"/>
  <c r="R4" i="2"/>
  <c r="R12" i="2" s="1"/>
  <c r="P4" i="2"/>
  <c r="Q4" i="2"/>
  <c r="P5" i="2"/>
  <c r="Q5" i="2"/>
  <c r="P6" i="2"/>
  <c r="Q6" i="2"/>
  <c r="P7" i="2"/>
  <c r="Q7" i="2"/>
  <c r="O5" i="2"/>
  <c r="O13" i="2" s="1"/>
  <c r="O6" i="2"/>
  <c r="O14" i="2" s="1"/>
  <c r="O7" i="2"/>
  <c r="O15" i="2" s="1"/>
  <c r="P15" i="2" s="1"/>
  <c r="O4" i="2"/>
  <c r="O12" i="2" s="1"/>
  <c r="M11" i="6"/>
  <c r="L11" i="6"/>
  <c r="E10" i="6"/>
  <c r="D10" i="6"/>
  <c r="Y8" i="2"/>
  <c r="AA8" i="2" s="1"/>
  <c r="Y9" i="2"/>
  <c r="D5" i="6"/>
  <c r="G11" i="6"/>
  <c r="G12" i="6"/>
  <c r="G13" i="6"/>
  <c r="G10" i="6"/>
  <c r="E13" i="6"/>
  <c r="M5" i="6"/>
  <c r="N5" i="6" s="1"/>
  <c r="E12" i="6" s="1"/>
  <c r="F5" i="6"/>
  <c r="J12" i="6" s="1"/>
  <c r="K12" i="6" s="1"/>
  <c r="F6" i="6"/>
  <c r="J4" i="6"/>
  <c r="J5" i="6"/>
  <c r="J6" i="6"/>
  <c r="J3" i="6"/>
  <c r="K4" i="6"/>
  <c r="K5" i="6"/>
  <c r="K6" i="6"/>
  <c r="K3" i="6"/>
  <c r="F3" i="4"/>
  <c r="G3" i="4"/>
  <c r="M6" i="6"/>
  <c r="N6" i="6" s="1"/>
  <c r="M4" i="6"/>
  <c r="N4" i="6" s="1"/>
  <c r="F3" i="6"/>
  <c r="AC7" i="2"/>
  <c r="Y7" i="2" s="1"/>
  <c r="V18" i="2"/>
  <c r="X12" i="2"/>
  <c r="Y12" i="2"/>
  <c r="Z12" i="2"/>
  <c r="AA12" i="2"/>
  <c r="AB12" i="2"/>
  <c r="AC12" i="2"/>
  <c r="AD12" i="2"/>
  <c r="W12" i="2"/>
  <c r="AB6" i="2"/>
  <c r="X6" i="2" s="1"/>
  <c r="AA7" i="2"/>
  <c r="W7" i="2" s="1"/>
  <c r="G8" i="2"/>
  <c r="K8" i="2" s="1"/>
  <c r="G9" i="2"/>
  <c r="K9" i="2" s="1"/>
  <c r="G12" i="2"/>
  <c r="K12" i="2" s="1"/>
  <c r="E6" i="2"/>
  <c r="E7" i="2"/>
  <c r="G7" i="2" s="1"/>
  <c r="L7" i="2" s="1"/>
  <c r="E8" i="2"/>
  <c r="E9" i="2"/>
  <c r="E10" i="2"/>
  <c r="G10" i="2" s="1"/>
  <c r="L10" i="2" s="1"/>
  <c r="E11" i="2"/>
  <c r="G11" i="2" s="1"/>
  <c r="L11" i="2" s="1"/>
  <c r="E12" i="2"/>
  <c r="E4" i="2"/>
  <c r="G4" i="2" s="1"/>
  <c r="K4" i="2" s="1"/>
  <c r="E5" i="2"/>
  <c r="G5" i="2" s="1"/>
  <c r="L5" i="2" s="1"/>
  <c r="F12" i="1"/>
  <c r="B3" i="2"/>
  <c r="F11" i="1" s="1"/>
  <c r="G12" i="1" s="1"/>
  <c r="B27" i="8" l="1"/>
  <c r="B31" i="8"/>
  <c r="B33" i="8" s="1"/>
  <c r="B34" i="8" s="1"/>
  <c r="B11" i="8"/>
  <c r="B9" i="8"/>
  <c r="U4" i="6"/>
  <c r="P14" i="2"/>
  <c r="Q15" i="2"/>
  <c r="P13" i="2"/>
  <c r="Q13" i="2" s="1"/>
  <c r="P12" i="2"/>
  <c r="Q12" i="2" s="1"/>
  <c r="Q14" i="2"/>
  <c r="AC19" i="2"/>
  <c r="W19" i="2"/>
  <c r="AB19" i="2"/>
  <c r="AA19" i="2"/>
  <c r="Z19" i="2"/>
  <c r="AD21" i="2"/>
  <c r="Y19" i="2"/>
  <c r="X19" i="2"/>
  <c r="E11" i="6"/>
  <c r="G5" i="6"/>
  <c r="AA6" i="2"/>
  <c r="W6" i="2" s="1"/>
  <c r="E5" i="1"/>
  <c r="D7" i="1" s="1"/>
  <c r="E7" i="1" s="1"/>
  <c r="AA4" i="2"/>
  <c r="W4" i="2" s="1"/>
  <c r="AD5" i="2"/>
  <c r="Z5" i="2" s="1"/>
  <c r="F10" i="1"/>
  <c r="AD4" i="2"/>
  <c r="Z4" i="2" s="1"/>
  <c r="AB5" i="2"/>
  <c r="X5" i="2" s="1"/>
  <c r="AC4" i="2"/>
  <c r="Y4" i="2" s="1"/>
  <c r="AA5" i="2"/>
  <c r="W5" i="2" s="1"/>
  <c r="AB7" i="2"/>
  <c r="X7" i="2" s="1"/>
  <c r="AD6" i="2"/>
  <c r="Z6" i="2" s="1"/>
  <c r="D4" i="6"/>
  <c r="G4" i="6" s="1"/>
  <c r="T4" i="6"/>
  <c r="G3" i="6"/>
  <c r="L3" i="6" s="1"/>
  <c r="M3" i="6" s="1"/>
  <c r="D13" i="6"/>
  <c r="D12" i="6"/>
  <c r="D11" i="6"/>
  <c r="AC6" i="2"/>
  <c r="Y6" i="2" s="1"/>
  <c r="L9" i="2"/>
  <c r="AB4" i="2"/>
  <c r="X4" i="2" s="1"/>
  <c r="AC5" i="2"/>
  <c r="Y5" i="2" s="1"/>
  <c r="D6" i="6"/>
  <c r="G6" i="6" s="1"/>
  <c r="AD7" i="2"/>
  <c r="Z7" i="2" s="1"/>
  <c r="L4" i="2"/>
  <c r="L12" i="2"/>
  <c r="F10" i="2"/>
  <c r="K7" i="2"/>
  <c r="K5" i="2"/>
  <c r="F6" i="2"/>
  <c r="L8" i="2"/>
  <c r="K11" i="2"/>
  <c r="K10" i="2"/>
  <c r="F12" i="2"/>
  <c r="F8" i="2"/>
  <c r="F11" i="2"/>
  <c r="F7" i="2"/>
  <c r="G6" i="2"/>
  <c r="F4" i="2"/>
  <c r="F9" i="2"/>
  <c r="F5" i="2"/>
  <c r="D13" i="3"/>
  <c r="F6" i="1"/>
  <c r="F7" i="1" s="1"/>
  <c r="G7" i="1" s="1"/>
  <c r="B35" i="8" l="1"/>
  <c r="B36" i="8" s="1"/>
  <c r="N3" i="6"/>
  <c r="P3" i="6"/>
  <c r="I6" i="2"/>
  <c r="J6" i="2"/>
  <c r="J10" i="2"/>
  <c r="I10" i="2"/>
  <c r="J4" i="2"/>
  <c r="I4" i="2"/>
  <c r="I12" i="2"/>
  <c r="J12" i="2"/>
  <c r="I5" i="2"/>
  <c r="J5" i="2"/>
  <c r="I9" i="2"/>
  <c r="J9" i="2"/>
  <c r="K6" i="2"/>
  <c r="L6" i="2"/>
  <c r="I7" i="2"/>
  <c r="J7" i="2"/>
  <c r="J11" i="2"/>
  <c r="I11" i="2"/>
  <c r="I8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tc={FFA60E51-68D8-40E0-AD81-3D462F58A241}</author>
    <author>tc={A4AAE497-6092-4FA8-B6E0-70211D6FC7D9}</author>
    <author>tc={2FFCEE4A-4908-4965-A78B-A9CBEE73B9C5}</author>
  </authors>
  <commentList>
    <comment ref="E3" authorId="0" shapeId="0" xr:uid="{FFA60E51-68D8-40E0-AD81-3D462F58A241}">
      <text>
        <t>[Threaded comment]
Your version of Excel allows you to read this threaded comment; however, any edits to it will get removed if the file is opened in a newer version of Excel. Learn more: https://go.microsoft.com/fwlink/?linkid=870924
Comment:
    0 - 7</t>
      </text>
    </comment>
    <comment ref="E4" authorId="1" shapeId="0" xr:uid="{A4AAE497-6092-4FA8-B6E0-70211D6FC7D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</t>
      </text>
    </comment>
    <comment ref="E6" authorId="2" shapeId="0" xr:uid="{2FFCEE4A-4908-4965-A78B-A9CBEE73B9C5}">
      <text>
        <t>[Threaded comment]
Your version of Excel allows you to read this threaded comment; however, any edits to it will get removed if the file is opened in a newer version of Excel. Learn more: https://go.microsoft.com/fwlink/?linkid=870924
Comment:
    0-3</t>
      </text>
    </comment>
  </commentList>
</comments>
</file>

<file path=xl/sharedStrings.xml><?xml version="1.0" encoding="utf-8"?>
<sst xmlns="http://schemas.openxmlformats.org/spreadsheetml/2006/main" count="571" uniqueCount="465">
  <si>
    <t>P_Clock</t>
  </si>
  <si>
    <t>I_Clock</t>
  </si>
  <si>
    <t>Value</t>
  </si>
  <si>
    <t>TMR_2</t>
  </si>
  <si>
    <t>Register</t>
  </si>
  <si>
    <t>PR2</t>
  </si>
  <si>
    <t>Mod</t>
  </si>
  <si>
    <t>Reg Value</t>
  </si>
  <si>
    <t>Input</t>
  </si>
  <si>
    <t>PMW</t>
  </si>
  <si>
    <t>TMR2 Prescale</t>
  </si>
  <si>
    <t>T2CKPS1:0</t>
  </si>
  <si>
    <t>Clock</t>
  </si>
  <si>
    <t>Definition</t>
  </si>
  <si>
    <t>TMR2 PR2</t>
  </si>
  <si>
    <t>TMR2 Compare</t>
  </si>
  <si>
    <t>CCPR1L</t>
  </si>
  <si>
    <t>On Time ("Duty Cycle")</t>
  </si>
  <si>
    <t>Should Be</t>
  </si>
  <si>
    <t>CCP1CON&lt;5:4&gt;</t>
  </si>
  <si>
    <t>Upper bits of DC</t>
  </si>
  <si>
    <t>40Khz Generator</t>
  </si>
  <si>
    <t>PWM Delay</t>
  </si>
  <si>
    <t>PDC6:PDC0</t>
  </si>
  <si>
    <t>No Delay</t>
  </si>
  <si>
    <t>Calculations</t>
  </si>
  <si>
    <t>Register Settings</t>
  </si>
  <si>
    <t>TMR2</t>
  </si>
  <si>
    <t>T2Con</t>
  </si>
  <si>
    <t>Bits</t>
  </si>
  <si>
    <t>Post-Scale - Use for interrupt to shut down the oscillator</t>
  </si>
  <si>
    <t>T2OUTPS&lt;3:0&gt;</t>
  </si>
  <si>
    <t>TMR2ON</t>
  </si>
  <si>
    <t>Set to activate oscillator</t>
  </si>
  <si>
    <t>T2SKPS&lt;1:0&gt;</t>
  </si>
  <si>
    <t>Prescaler set to 1</t>
  </si>
  <si>
    <t>Counter. Set to 49 for 40Khz at 8Mhz Crystal</t>
  </si>
  <si>
    <t>Adds 1 instruction cycle in hardware</t>
  </si>
  <si>
    <t>ECCP1DEL</t>
  </si>
  <si>
    <t>PRSEN</t>
  </si>
  <si>
    <t>PDC&lt;6:0&gt;</t>
  </si>
  <si>
    <t>Delay count bits</t>
  </si>
  <si>
    <t>Restart enable bit - No auto Restart</t>
  </si>
  <si>
    <t>ECCP1AS</t>
  </si>
  <si>
    <t>Auto Shutdown Control Register</t>
  </si>
  <si>
    <t>PMW Configuration Register</t>
  </si>
  <si>
    <t>ECCPASE</t>
  </si>
  <si>
    <t>ECCPAS&lt;2:0&gt;</t>
  </si>
  <si>
    <t>Read-Only. Write 0</t>
  </si>
  <si>
    <t>Auto Shutdown Disabled</t>
  </si>
  <si>
    <t>PSSAC&lt;1:0&gt;</t>
  </si>
  <si>
    <t>Pins A/C Shutdown Control State</t>
  </si>
  <si>
    <t>PSSBD&lt;1:0&gt;</t>
  </si>
  <si>
    <t>Pins B/D Shotdown Control State</t>
  </si>
  <si>
    <t>PWM "On" period = 12.5us</t>
  </si>
  <si>
    <t>CCPR1H</t>
  </si>
  <si>
    <t>CCP1CON</t>
  </si>
  <si>
    <t>ECCP Control Register</t>
  </si>
  <si>
    <t>P1M&lt;1:0&gt;</t>
  </si>
  <si>
    <t>CCPM&lt;3:0&gt;</t>
  </si>
  <si>
    <t>PWM "On" period MSB</t>
  </si>
  <si>
    <t>Unimplemented in 28-pin devices</t>
  </si>
  <si>
    <t>DC1B&lt;1:0&gt;</t>
  </si>
  <si>
    <t>Module</t>
  </si>
  <si>
    <t>Pins</t>
  </si>
  <si>
    <t>TMR3</t>
  </si>
  <si>
    <t>RD16</t>
  </si>
  <si>
    <t>16-bit Read/Write mode Enable</t>
  </si>
  <si>
    <t>Pin Definitions</t>
  </si>
  <si>
    <t>Value Def</t>
  </si>
  <si>
    <t>8-bit mode</t>
  </si>
  <si>
    <t>Not Used</t>
  </si>
  <si>
    <t>CCP2</t>
  </si>
  <si>
    <t>Compare Module 2</t>
  </si>
  <si>
    <t>CCP2 Compare LOB</t>
  </si>
  <si>
    <t>CCP2 Compare HOB</t>
  </si>
  <si>
    <t>CCP2M&lt;3:0&gt;</t>
  </si>
  <si>
    <t>DC2B&lt;1:0&gt;</t>
  </si>
  <si>
    <t>Bits &lt;7:6&gt;</t>
  </si>
  <si>
    <t>Not Used (Used for PWM)</t>
  </si>
  <si>
    <t xml:space="preserve">Toggle Output </t>
  </si>
  <si>
    <t>CCP Mode Select Bits</t>
  </si>
  <si>
    <t>80Khz Oscillations</t>
  </si>
  <si>
    <t>TRIS Bits</t>
  </si>
  <si>
    <t>TMR1L</t>
  </si>
  <si>
    <t>TMR1H</t>
  </si>
  <si>
    <t>TRISC1</t>
  </si>
  <si>
    <t>Int</t>
  </si>
  <si>
    <t>Generate interrupt</t>
  </si>
  <si>
    <t>Interrupt Enable Flag</t>
  </si>
  <si>
    <t>Low Priority Interrupt</t>
  </si>
  <si>
    <t>T1CON</t>
  </si>
  <si>
    <t>CCP1IF</t>
  </si>
  <si>
    <t>CCP1IE</t>
  </si>
  <si>
    <t>CCP1IP</t>
  </si>
  <si>
    <t>CCP1/RC2</t>
  </si>
  <si>
    <t>Pin 13 Output</t>
  </si>
  <si>
    <t>T1RUN</t>
  </si>
  <si>
    <t>Other Source</t>
  </si>
  <si>
    <t>TMR1 Clock Status (input) Bit</t>
  </si>
  <si>
    <t>T1CKPS&lt;1:0&gt;</t>
  </si>
  <si>
    <t>TMR1 Prescale</t>
  </si>
  <si>
    <t>T1OSCEN</t>
  </si>
  <si>
    <t>1/0</t>
  </si>
  <si>
    <t>Enable/Disable</t>
  </si>
  <si>
    <t>T1SYNC</t>
  </si>
  <si>
    <t>TMR1 External Clock Sync bit</t>
  </si>
  <si>
    <t>TMR1CS</t>
  </si>
  <si>
    <t>Clock Source Bit</t>
  </si>
  <si>
    <t>TMR1ON</t>
  </si>
  <si>
    <t>Timer Enable Bit</t>
  </si>
  <si>
    <t>Disable</t>
  </si>
  <si>
    <t>External Oscillator Enable bit</t>
  </si>
  <si>
    <t>Timer</t>
  </si>
  <si>
    <t>40Khz</t>
  </si>
  <si>
    <t>TOD</t>
  </si>
  <si>
    <t>Echo Timer</t>
  </si>
  <si>
    <t>Y</t>
  </si>
  <si>
    <t>Pin</t>
  </si>
  <si>
    <t>Mnumonic</t>
  </si>
  <si>
    <t>Use</t>
  </si>
  <si>
    <t>Pgm</t>
  </si>
  <si>
    <t>Vdd</t>
  </si>
  <si>
    <t xml:space="preserve">Vdd </t>
  </si>
  <si>
    <t>RA1/AN1</t>
  </si>
  <si>
    <t>RA2/AN2/Vref-/Cvref</t>
  </si>
  <si>
    <t>RA5/AN4/SS/HLVDIN/C2OUT</t>
  </si>
  <si>
    <t>Vss</t>
  </si>
  <si>
    <t>OSC1/CLK1</t>
  </si>
  <si>
    <t>OSC2/CLK0/RA6</t>
  </si>
  <si>
    <t>RC0/T1OSO/T13CKI</t>
  </si>
  <si>
    <r>
      <t>RC1/T1OSI/CCP2*/</t>
    </r>
    <r>
      <rPr>
        <i/>
        <sz val="11"/>
        <color theme="1"/>
        <rFont val="Calibri"/>
        <family val="2"/>
        <scheme val="minor"/>
      </rPr>
      <t>UOE</t>
    </r>
  </si>
  <si>
    <r>
      <rPr>
        <i/>
        <sz val="11"/>
        <color theme="1"/>
        <rFont val="Calibri"/>
        <family val="2"/>
        <scheme val="minor"/>
      </rPr>
      <t>MCLR</t>
    </r>
    <r>
      <rPr>
        <sz val="11"/>
        <color theme="1"/>
        <rFont val="Calibri"/>
        <family val="2"/>
        <scheme val="minor"/>
      </rPr>
      <t>/Vpp/RE3</t>
    </r>
  </si>
  <si>
    <t>RC2/CCP1</t>
  </si>
  <si>
    <t>Vusb</t>
  </si>
  <si>
    <t>RC4/D-/VM</t>
  </si>
  <si>
    <t>RC5/D+/VP</t>
  </si>
  <si>
    <t>RC6/Tx/CK</t>
  </si>
  <si>
    <t>RC7/Rx/DT/SDO</t>
  </si>
  <si>
    <t>Vss (Gnd)</t>
  </si>
  <si>
    <t>Vdd (+5)</t>
  </si>
  <si>
    <t>RB0/AN12/INT0/FLT0/SDI/SDA</t>
  </si>
  <si>
    <t>RB1/AN10/INT1/SCK/SCL</t>
  </si>
  <si>
    <t>RB2/AN8/INT2/VMO</t>
  </si>
  <si>
    <t>RB3/AN9/CCP2*/VPO</t>
  </si>
  <si>
    <t>RB4/AN11/KBIO</t>
  </si>
  <si>
    <t>RB6/KBI2/PGC</t>
  </si>
  <si>
    <t>RB7/KBI3/PGD</t>
  </si>
  <si>
    <t>* CCP2 pin is program cntrl'ed</t>
  </si>
  <si>
    <t>Rxy</t>
  </si>
  <si>
    <t>Register x, bit y</t>
  </si>
  <si>
    <t>ANx</t>
  </si>
  <si>
    <t>A/D Converter x</t>
  </si>
  <si>
    <t>MCLR</t>
  </si>
  <si>
    <t>Master Clear</t>
  </si>
  <si>
    <t>Vpp</t>
  </si>
  <si>
    <t>Supply Voltage</t>
  </si>
  <si>
    <t>Ground</t>
  </si>
  <si>
    <t>Vref*</t>
  </si>
  <si>
    <t>Reference voltage for A/D</t>
  </si>
  <si>
    <t>T0CKx</t>
  </si>
  <si>
    <t>RCV</t>
  </si>
  <si>
    <t>SS</t>
  </si>
  <si>
    <t>HLVDIN</t>
  </si>
  <si>
    <t>CxOUT</t>
  </si>
  <si>
    <t>OSCx</t>
  </si>
  <si>
    <t>CLKx</t>
  </si>
  <si>
    <t>T13CK*</t>
  </si>
  <si>
    <t>T1OS*</t>
  </si>
  <si>
    <t>CCPx</t>
  </si>
  <si>
    <t>UOE</t>
  </si>
  <si>
    <t>D*</t>
  </si>
  <si>
    <t>CK</t>
  </si>
  <si>
    <t>Rx/Tx</t>
  </si>
  <si>
    <t>INTx</t>
  </si>
  <si>
    <t>External Interrupts (Can wake up chip)</t>
  </si>
  <si>
    <t>FLTx</t>
  </si>
  <si>
    <t>SDA</t>
  </si>
  <si>
    <t>SCK</t>
  </si>
  <si>
    <t>SCL</t>
  </si>
  <si>
    <t>VMO</t>
  </si>
  <si>
    <t>VPO</t>
  </si>
  <si>
    <t>KBIx</t>
  </si>
  <si>
    <t>PGC</t>
  </si>
  <si>
    <t>PGM</t>
  </si>
  <si>
    <t>PGD</t>
  </si>
  <si>
    <t>USB +/- data</t>
  </si>
  <si>
    <t xml:space="preserve">USB Power from internal gen. </t>
  </si>
  <si>
    <t>Program Voltage Input</t>
  </si>
  <si>
    <t>Ext. Oscillator In/Out (Main timer)</t>
  </si>
  <si>
    <t xml:space="preserve">Same as OSCx 0 </t>
  </si>
  <si>
    <t>Cvref</t>
  </si>
  <si>
    <t>Comparator reference output</t>
  </si>
  <si>
    <t>Comparator x Output</t>
  </si>
  <si>
    <t>Timer 0 External Clock Input/Output</t>
  </si>
  <si>
    <t>External USB Transceiver RCV Input</t>
  </si>
  <si>
    <t>External USB Transceiver VM Input</t>
  </si>
  <si>
    <t>High/Low Voltage Detect Input</t>
  </si>
  <si>
    <t>PWM Fault Input (CCP Modules)</t>
  </si>
  <si>
    <t>I2C Data I/O</t>
  </si>
  <si>
    <t>Sync clock I/O for SPI Mode</t>
  </si>
  <si>
    <t>Sync clock I/O for I2C Mode</t>
  </si>
  <si>
    <t>External USB Transceiver VMO Out</t>
  </si>
  <si>
    <t>External USB Transceiver VPO Out</t>
  </si>
  <si>
    <t>Interrupt-on-Change pin</t>
  </si>
  <si>
    <t>In-Circuit Debug/ICSP Programming Data</t>
  </si>
  <si>
    <r>
      <t>External USB Transceiver</t>
    </r>
    <r>
      <rPr>
        <i/>
        <sz val="11"/>
        <color theme="1"/>
        <rFont val="Calibri"/>
        <family val="2"/>
        <scheme val="minor"/>
      </rPr>
      <t xml:space="preserve"> OE</t>
    </r>
    <r>
      <rPr>
        <sz val="11"/>
        <color theme="1"/>
        <rFont val="Calibri"/>
        <family val="2"/>
        <scheme val="minor"/>
      </rPr>
      <t xml:space="preserve"> Output</t>
    </r>
  </si>
  <si>
    <t>Timer 1 Oscillator Input</t>
  </si>
  <si>
    <t>Timer 1 Oscillator Output</t>
  </si>
  <si>
    <t>CCP Capture Input, Compare &amp; PWM Output</t>
  </si>
  <si>
    <t xml:space="preserve">VM </t>
  </si>
  <si>
    <t>Pin(s)</t>
  </si>
  <si>
    <t>9, 10</t>
  </si>
  <si>
    <t>1</t>
  </si>
  <si>
    <t>Many</t>
  </si>
  <si>
    <t>4</t>
  </si>
  <si>
    <t>6</t>
  </si>
  <si>
    <t>4, 5</t>
  </si>
  <si>
    <t>7</t>
  </si>
  <si>
    <t>6, 7</t>
  </si>
  <si>
    <t>21</t>
  </si>
  <si>
    <t>SD*</t>
  </si>
  <si>
    <t>SPI Data I/O</t>
  </si>
  <si>
    <t>25, 26, 27, 28</t>
  </si>
  <si>
    <t>21, 22, 23</t>
  </si>
  <si>
    <t>15, 16</t>
  </si>
  <si>
    <t>EUSART Asynch Tx/Rx</t>
  </si>
  <si>
    <t>EUSART Synch Clock</t>
  </si>
  <si>
    <t>DT</t>
  </si>
  <si>
    <t>18</t>
  </si>
  <si>
    <t>EUSART Synch Data</t>
  </si>
  <si>
    <t>12, 13, 24*</t>
  </si>
  <si>
    <t>17</t>
  </si>
  <si>
    <t xml:space="preserve">Low-Voltage ICSP Program Enable </t>
  </si>
  <si>
    <t>In-Circuit Debug/ICSP Programming Clock</t>
  </si>
  <si>
    <t>27</t>
  </si>
  <si>
    <t>28</t>
  </si>
  <si>
    <t>26</t>
  </si>
  <si>
    <t>17, 18</t>
  </si>
  <si>
    <t>14</t>
  </si>
  <si>
    <t>Modules</t>
  </si>
  <si>
    <t>Pin Mnumonics</t>
  </si>
  <si>
    <t>CCP1</t>
  </si>
  <si>
    <t>Main Osc</t>
  </si>
  <si>
    <t>USB</t>
  </si>
  <si>
    <t>D+/D-/Vusb</t>
  </si>
  <si>
    <t>14, 15, 16</t>
  </si>
  <si>
    <t>I2C</t>
  </si>
  <si>
    <t>OSC1/OSC2</t>
  </si>
  <si>
    <t>23</t>
  </si>
  <si>
    <t>24</t>
  </si>
  <si>
    <t>VP</t>
  </si>
  <si>
    <t>16</t>
  </si>
  <si>
    <t>External USB Tranceiver VP Input</t>
  </si>
  <si>
    <t>Power</t>
  </si>
  <si>
    <t>8, 19</t>
  </si>
  <si>
    <t>20</t>
  </si>
  <si>
    <t>8, 19, 20</t>
  </si>
  <si>
    <t>Vss/Vdd</t>
  </si>
  <si>
    <t>In-Circuit Pgm</t>
  </si>
  <si>
    <t>SPI slave select input</t>
  </si>
  <si>
    <t>Vpp/PGC/PGD</t>
  </si>
  <si>
    <t>1, 27, 28</t>
  </si>
  <si>
    <t>EUSART</t>
  </si>
  <si>
    <t>Ext USB Transc</t>
  </si>
  <si>
    <t>15</t>
  </si>
  <si>
    <t>VM/VP/VMO/VPO</t>
  </si>
  <si>
    <t>15, 16, 23, 24</t>
  </si>
  <si>
    <t>CCP1/{C1OUT}/{FLT0}</t>
  </si>
  <si>
    <t>13, {6}, {21}</t>
  </si>
  <si>
    <t>CCP2/{C2OUT}/{FLT0}</t>
  </si>
  <si>
    <t>12 or 24, {7}, {21}</t>
  </si>
  <si>
    <t>Tx, Rx, DT</t>
  </si>
  <si>
    <t>17, 18 (RX=DT)</t>
  </si>
  <si>
    <t>SDA/SCL</t>
  </si>
  <si>
    <t>22</t>
  </si>
  <si>
    <t>18, 21</t>
  </si>
  <si>
    <t>SPI</t>
  </si>
  <si>
    <t>SDO/SDI/SCK</t>
  </si>
  <si>
    <t>18, 21, 22</t>
  </si>
  <si>
    <t>Master Clock</t>
  </si>
  <si>
    <t>Gnd</t>
  </si>
  <si>
    <t>USB D-</t>
  </si>
  <si>
    <t>USB D+</t>
  </si>
  <si>
    <t>Timer1</t>
  </si>
  <si>
    <t>[T1OSO/T13CKI]/T1OSI</t>
  </si>
  <si>
    <t>11, 12</t>
  </si>
  <si>
    <t>Timer0</t>
  </si>
  <si>
    <t>{T0CKI}</t>
  </si>
  <si>
    <t>RA4/T0CKI/C1OUT/RCV</t>
  </si>
  <si>
    <t>{6}</t>
  </si>
  <si>
    <t>Prescalers</t>
  </si>
  <si>
    <t xml:space="preserve">PreScale </t>
  </si>
  <si>
    <t>2^x</t>
  </si>
  <si>
    <t>8-Bit</t>
  </si>
  <si>
    <t>16-Bit</t>
  </si>
  <si>
    <t>Max Time (s)</t>
  </si>
  <si>
    <t>21, 22</t>
  </si>
  <si>
    <t>RB5/KB1/PGM</t>
  </si>
  <si>
    <t>PreScale</t>
  </si>
  <si>
    <t>PostScale</t>
  </si>
  <si>
    <t xml:space="preserve">Period </t>
  </si>
  <si>
    <t>Frequency</t>
  </si>
  <si>
    <t>Timer 1/3 (I_Clock In)</t>
  </si>
  <si>
    <t>Period</t>
  </si>
  <si>
    <t>Timer2</t>
  </si>
  <si>
    <t>Timer3</t>
  </si>
  <si>
    <t>None</t>
  </si>
  <si>
    <t>LDC Display</t>
  </si>
  <si>
    <t>Yes</t>
  </si>
  <si>
    <t>8Mhz Crystal</t>
  </si>
  <si>
    <t>Timer Outs</t>
  </si>
  <si>
    <t>Interrupt Only</t>
  </si>
  <si>
    <t>CCP1 or 2</t>
  </si>
  <si>
    <t>CCP1 or 2 in PWM or MSSP</t>
  </si>
  <si>
    <t>MSSP (SPI)</t>
  </si>
  <si>
    <t>MSSP (I2C)</t>
  </si>
  <si>
    <t>SDI/SDO/SCK/{SS}</t>
  </si>
  <si>
    <t>18, 21, 22, {7}</t>
  </si>
  <si>
    <t>TOD Clock</t>
  </si>
  <si>
    <t>Echo Timer - CCP1</t>
  </si>
  <si>
    <t>Echo Timer - Timer1</t>
  </si>
  <si>
    <t>40Khz Out - CCP2</t>
  </si>
  <si>
    <t>40Khz Out - Timer3</t>
  </si>
  <si>
    <t>x</t>
  </si>
  <si>
    <t>LCD Data Bus</t>
  </si>
  <si>
    <t>RA0/AN0</t>
  </si>
  <si>
    <t>RA3/AN3/Vref+</t>
  </si>
  <si>
    <t xml:space="preserve">Timer </t>
  </si>
  <si>
    <t>Source</t>
  </si>
  <si>
    <t>Setting</t>
  </si>
  <si>
    <t>Output</t>
  </si>
  <si>
    <t>Freq</t>
  </si>
  <si>
    <t>Callback</t>
  </si>
  <si>
    <t>Count</t>
  </si>
  <si>
    <t>Ext</t>
  </si>
  <si>
    <t>PS(Hex)</t>
  </si>
  <si>
    <t>Cnt Down</t>
  </si>
  <si>
    <t>Role</t>
  </si>
  <si>
    <t>Sample Timer</t>
  </si>
  <si>
    <t>SOSC</t>
  </si>
  <si>
    <t>Secondary Oscillator</t>
  </si>
  <si>
    <t>IntOsc</t>
  </si>
  <si>
    <t>Internal Oscillator</t>
  </si>
  <si>
    <t>SOSC&lt;0:1&gt;</t>
  </si>
  <si>
    <t>m/s</t>
  </si>
  <si>
    <t>mm/s</t>
  </si>
  <si>
    <t>mm</t>
  </si>
  <si>
    <t>Max Period</t>
  </si>
  <si>
    <t>mm/Tick</t>
  </si>
  <si>
    <t>CCP</t>
  </si>
  <si>
    <t>Capture</t>
  </si>
  <si>
    <t>Mode</t>
  </si>
  <si>
    <t>PWM</t>
  </si>
  <si>
    <t>On Pulse</t>
  </si>
  <si>
    <t>CCPRxL</t>
  </si>
  <si>
    <t>On Time</t>
  </si>
  <si>
    <t>DC</t>
  </si>
  <si>
    <t>Dec2Hex</t>
  </si>
  <si>
    <t>Hex2Dec</t>
  </si>
  <si>
    <t>Overflow</t>
  </si>
  <si>
    <t>ECCP1 Counter Max</t>
  </si>
  <si>
    <t>Time</t>
  </si>
  <si>
    <t>Dist Ft</t>
  </si>
  <si>
    <t xml:space="preserve">PostScale - TMR2 Interrupt Period </t>
  </si>
  <si>
    <t># Puls+1</t>
  </si>
  <si>
    <t>TIMER2 Period (I_Clock in) - Count Up</t>
  </si>
  <si>
    <t>TMR2 is primarily desiged for PWM. It's designed to provide N (where N = postScale + 1) pulses to the CCP modules. Frequency is determined by PR2 (0 - 255). It can also be used for a clock for the MPPC module (USART). It generates an interrupt after N pulses. TIMR2's counter reset at the completion of every successful compare of the counter and PR2. 
In PWM, CCPRxL contains the number of I_Clock pulses for the On state(e.g. if PR2 = 49 (50 I_Clocks periods, and CCPRx: = 24 (25 I_Clock periods), duty cycle = 50%).</t>
  </si>
  <si>
    <t>Timer0 (I-Clock In) - Count Up. Interrupt on Overflow</t>
  </si>
  <si>
    <t>Dec</t>
  </si>
  <si>
    <t>Hex</t>
  </si>
  <si>
    <t>TMR0 Value
(i.e. PostScale)</t>
  </si>
  <si>
    <t>e17b</t>
  </si>
  <si>
    <t xml:space="preserve">Use TMR0 = </t>
  </si>
  <si>
    <t>TMR0:</t>
  </si>
  <si>
    <t>Prescale:</t>
  </si>
  <si>
    <t>Desired Frequency:</t>
  </si>
  <si>
    <t>Calculated Value</t>
  </si>
  <si>
    <t>Less 2 x I_Clocks</t>
  </si>
  <si>
    <t xml:space="preserve">Round down as TMR0 loses 2 cycles after TMR0 is re-loaded. </t>
  </si>
  <si>
    <t>Relay</t>
  </si>
  <si>
    <t>LCD_E</t>
  </si>
  <si>
    <t>LCD_RW</t>
  </si>
  <si>
    <t>LCD_RS</t>
  </si>
  <si>
    <t>Tx_Enable</t>
  </si>
  <si>
    <t>f40Khz</t>
  </si>
  <si>
    <t>Echo_Detect</t>
  </si>
  <si>
    <t>Gal/Tick</t>
  </si>
  <si>
    <t>Temp</t>
  </si>
  <si>
    <t>Deg C</t>
  </si>
  <si>
    <t>Deg K</t>
  </si>
  <si>
    <t>Abs_Zero_K</t>
  </si>
  <si>
    <t>Air Temp</t>
  </si>
  <si>
    <t>SOS (@Temp)</t>
  </si>
  <si>
    <t>Tank Diam</t>
  </si>
  <si>
    <t>In</t>
  </si>
  <si>
    <t>mm2</t>
  </si>
  <si>
    <t>Variable</t>
  </si>
  <si>
    <t>Units</t>
  </si>
  <si>
    <t>Equation</t>
  </si>
  <si>
    <t>M/s</t>
  </si>
  <si>
    <t>TankSurfArea</t>
  </si>
  <si>
    <t>WaterVol</t>
  </si>
  <si>
    <t>f</t>
  </si>
  <si>
    <t>g/mm3</t>
  </si>
  <si>
    <t>Tank Height</t>
  </si>
  <si>
    <t>TankGals/mm(height)</t>
  </si>
  <si>
    <t>Gal</t>
  </si>
  <si>
    <t>Gal/mm</t>
  </si>
  <si>
    <t>TankTotalGals</t>
  </si>
  <si>
    <t>mmPerTick</t>
  </si>
  <si>
    <t>Derived Values</t>
  </si>
  <si>
    <t>TickPeriod</t>
  </si>
  <si>
    <t>Secs</t>
  </si>
  <si>
    <t>Gals/Tick</t>
  </si>
  <si>
    <t>TankHeight_mm</t>
  </si>
  <si>
    <t>TotalTankTicks</t>
  </si>
  <si>
    <t>Ticks</t>
  </si>
  <si>
    <t>= TankHeight_mm / mmPerTick</t>
  </si>
  <si>
    <t>= pi() * ((TankDiam_In*25.4)/2)^2</t>
  </si>
  <si>
    <t>= TankSurfArea_mm2 * Gals_per_mm3</t>
  </si>
  <si>
    <t>= TankGals/mm * mm(height)</t>
  </si>
  <si>
    <t>= mmPerTick * TankGals/mm</t>
  </si>
  <si>
    <t>= TankHeight_In * 25.4</t>
  </si>
  <si>
    <t>uP Calcs</t>
  </si>
  <si>
    <t>Given</t>
  </si>
  <si>
    <t>gc_TankHeight_In</t>
  </si>
  <si>
    <t>gc_TankDiam_In</t>
  </si>
  <si>
    <t>Calculate on Startup</t>
  </si>
  <si>
    <t>gc_AbsZero</t>
  </si>
  <si>
    <t>gc_DefaultTemp</t>
  </si>
  <si>
    <t>gc_GalsPer_mm3</t>
  </si>
  <si>
    <t>gc_TickPeriod</t>
  </si>
  <si>
    <t>Calculate on EchoDetect</t>
  </si>
  <si>
    <t>mm/S</t>
  </si>
  <si>
    <t>d_SOS</t>
  </si>
  <si>
    <t>d_mmPerTick</t>
  </si>
  <si>
    <t>= d_SOS * gc_TickPeriod / 2</t>
  </si>
  <si>
    <t>=pi * pow(gc_TankDiam_In*25.4/2,2)</t>
  </si>
  <si>
    <t>gc_pi</t>
  </si>
  <si>
    <t>Constants</t>
  </si>
  <si>
    <t>gd_TankHeight_mm</t>
  </si>
  <si>
    <t>i_NumTicks</t>
  </si>
  <si>
    <t>From CCP1 Module</t>
  </si>
  <si>
    <t>d_EmptySpace</t>
  </si>
  <si>
    <t>= i_NumTicks * d_mmPerTick</t>
  </si>
  <si>
    <t>d_WaterHeight</t>
  </si>
  <si>
    <t>=gd_TankHeight_mm - d_EmptySpace</t>
  </si>
  <si>
    <t>= SOS_mmPSec * TickPeriod_S / 2</t>
  </si>
  <si>
    <t>gd_TankGalsPer_mm</t>
  </si>
  <si>
    <t>d_WaterVol2</t>
  </si>
  <si>
    <t>=d_WaterHeight*gd_TankGalsPer_mm</t>
  </si>
  <si>
    <t>SOS_at_0</t>
  </si>
  <si>
    <t>M/S</t>
  </si>
  <si>
    <t>SOS at 0</t>
  </si>
  <si>
    <t>SOS at Temp</t>
  </si>
  <si>
    <t>=SOS_at_0*SQRT(1+(Air_Temp/Abs_Zero_K))</t>
  </si>
  <si>
    <t>From Parms</t>
  </si>
  <si>
    <t>gc_SOS_at_0</t>
  </si>
  <si>
    <t>d_CurrTemp</t>
  </si>
  <si>
    <t>gd_TankSurfArea_mm2</t>
  </si>
  <si>
    <t>=gc_TankHeight_In*25.4</t>
  </si>
  <si>
    <t>=gc_SOS_at_0*SQRT(1+(d_CurrTemp/gc_AbsZero))</t>
  </si>
  <si>
    <t>d_Gals</t>
  </si>
  <si>
    <t>Gallons 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</si>
</sst>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0.00E+0"/>
    <numFmt numFmtId="165" formatCode="##0.000E+0"/>
    <numFmt numFmtId="166" formatCode="##0.0000E+0"/>
    <numFmt numFmtId="167" formatCode="0.000%"/>
    <numFmt numFmtId="168" formatCode="##0.000000E+0"/>
    <numFmt numFmtId="171" formatCode="##0.00000000E+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9">
    <xf numFmtId="0" fontId="0" fillId="0" borderId="0" xfId="0"/>
    <xf numFmtId="48" fontId="0" fillId="0" borderId="0" xfId="0" applyNumberFormat="1"/>
    <xf numFmtId="4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right" inden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48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right" indent="1"/>
    </xf>
    <xf numFmtId="1" fontId="0" fillId="0" borderId="0" xfId="0" quotePrefix="1" applyNumberFormat="1" applyAlignment="1">
      <alignment horizontal="right" indent="1"/>
    </xf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/>
    <xf numFmtId="48" fontId="1" fillId="0" borderId="0" xfId="0" applyNumberFormat="1" applyFont="1" applyAlignment="1"/>
    <xf numFmtId="48" fontId="0" fillId="0" borderId="0" xfId="0" applyNumberFormat="1" applyAlignment="1"/>
    <xf numFmtId="166" fontId="0" fillId="0" borderId="0" xfId="0" applyNumberFormat="1"/>
    <xf numFmtId="48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1" fontId="0" fillId="4" borderId="1" xfId="0" applyNumberFormat="1" applyFill="1" applyBorder="1"/>
    <xf numFmtId="166" fontId="0" fillId="4" borderId="1" xfId="0" applyNumberFormat="1" applyFill="1" applyBorder="1"/>
    <xf numFmtId="164" fontId="0" fillId="4" borderId="1" xfId="0" applyNumberFormat="1" applyFill="1" applyBorder="1"/>
    <xf numFmtId="166" fontId="1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" fontId="1" fillId="7" borderId="1" xfId="0" applyNumberFormat="1" applyFont="1" applyFill="1" applyBorder="1" applyAlignment="1">
      <alignment horizontal="center"/>
    </xf>
    <xf numFmtId="48" fontId="1" fillId="7" borderId="1" xfId="0" applyNumberFormat="1" applyFon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8" borderId="1" xfId="0" applyNumberFormat="1" applyFill="1" applyBorder="1"/>
    <xf numFmtId="48" fontId="0" fillId="8" borderId="1" xfId="0" applyNumberFormat="1" applyFill="1" applyBorder="1"/>
    <xf numFmtId="166" fontId="0" fillId="0" borderId="0" xfId="0" applyNumberFormat="1" applyAlignment="1"/>
    <xf numFmtId="48" fontId="1" fillId="8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5" borderId="1" xfId="0" applyNumberFormat="1" applyFill="1" applyBorder="1"/>
    <xf numFmtId="165" fontId="0" fillId="5" borderId="1" xfId="0" applyNumberFormat="1" applyFill="1" applyBorder="1"/>
    <xf numFmtId="1" fontId="1" fillId="2" borderId="1" xfId="0" applyNumberFormat="1" applyFont="1" applyFill="1" applyBorder="1"/>
    <xf numFmtId="48" fontId="0" fillId="4" borderId="1" xfId="0" applyNumberFormat="1" applyFill="1" applyBorder="1"/>
    <xf numFmtId="4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48" fontId="0" fillId="0" borderId="0" xfId="0" applyNumberFormat="1"/>
    <xf numFmtId="0" fontId="1" fillId="4" borderId="1" xfId="0" applyFont="1" applyFill="1" applyBorder="1" applyAlignment="1">
      <alignment horizontal="center"/>
    </xf>
    <xf numFmtId="48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8" fontId="0" fillId="2" borderId="1" xfId="0" applyNumberFormat="1" applyFill="1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right" indent="1"/>
    </xf>
    <xf numFmtId="0" fontId="1" fillId="4" borderId="4" xfId="0" applyFont="1" applyFill="1" applyBorder="1" applyAlignment="1">
      <alignment horizontal="center"/>
    </xf>
    <xf numFmtId="48" fontId="0" fillId="0" borderId="0" xfId="0" applyNumberFormat="1"/>
    <xf numFmtId="48" fontId="0" fillId="0" borderId="0" xfId="0" applyNumberFormat="1" applyAlignment="1">
      <alignment horizontal="center"/>
    </xf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8" fontId="0" fillId="0" borderId="0" xfId="0" applyNumberFormat="1" applyAlignment="1">
      <alignment horizontal="right"/>
    </xf>
    <xf numFmtId="48" fontId="0" fillId="9" borderId="1" xfId="0" applyNumberFormat="1" applyFill="1" applyBorder="1" applyAlignment="1">
      <alignment horizontal="right"/>
    </xf>
    <xf numFmtId="1" fontId="0" fillId="9" borderId="1" xfId="0" applyNumberFormat="1" applyFill="1" applyBorder="1"/>
    <xf numFmtId="48" fontId="0" fillId="0" borderId="0" xfId="0" applyNumberFormat="1"/>
    <xf numFmtId="48" fontId="0" fillId="0" borderId="0" xfId="0" applyNumberFormat="1" applyAlignment="1">
      <alignment horizontal="center"/>
    </xf>
    <xf numFmtId="48" fontId="0" fillId="0" borderId="0" xfId="0" applyNumberFormat="1"/>
    <xf numFmtId="48" fontId="1" fillId="2" borderId="1" xfId="0" applyNumberFormat="1" applyFont="1" applyFill="1" applyBorder="1" applyAlignment="1">
      <alignment horizontal="center"/>
    </xf>
    <xf numFmtId="1" fontId="0" fillId="0" borderId="0" xfId="0" applyNumberFormat="1" applyFill="1" applyBorder="1"/>
    <xf numFmtId="166" fontId="0" fillId="0" borderId="0" xfId="0" applyNumberFormat="1" applyFill="1" applyBorder="1"/>
    <xf numFmtId="164" fontId="0" fillId="0" borderId="0" xfId="0" applyNumberFormat="1" applyFill="1" applyBorder="1"/>
    <xf numFmtId="165" fontId="0" fillId="4" borderId="1" xfId="0" applyNumberFormat="1" applyFill="1" applyBorder="1"/>
    <xf numFmtId="1" fontId="1" fillId="2" borderId="2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165" fontId="0" fillId="0" borderId="0" xfId="0" applyNumberFormat="1"/>
    <xf numFmtId="48" fontId="0" fillId="2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right" indent="1"/>
    </xf>
    <xf numFmtId="48" fontId="0" fillId="4" borderId="1" xfId="0" applyNumberFormat="1" applyFill="1" applyBorder="1" applyAlignment="1">
      <alignment horizontal="center"/>
    </xf>
    <xf numFmtId="48" fontId="1" fillId="2" borderId="1" xfId="0" applyNumberFormat="1" applyFont="1" applyFill="1" applyBorder="1" applyAlignment="1">
      <alignment horizontal="center" vertical="center" wrapText="1"/>
    </xf>
    <xf numFmtId="48" fontId="0" fillId="5" borderId="1" xfId="0" applyNumberFormat="1" applyFill="1" applyBorder="1"/>
    <xf numFmtId="48" fontId="0" fillId="5" borderId="1" xfId="0" applyNumberFormat="1" applyFill="1" applyBorder="1" applyAlignment="1">
      <alignment horizontal="right"/>
    </xf>
    <xf numFmtId="1" fontId="0" fillId="4" borderId="1" xfId="0" applyNumberFormat="1" applyFill="1" applyBorder="1" applyAlignment="1">
      <alignment horizontal="center"/>
    </xf>
    <xf numFmtId="2" fontId="0" fillId="2" borderId="1" xfId="0" applyNumberFormat="1" applyFill="1" applyBorder="1"/>
    <xf numFmtId="48" fontId="0" fillId="0" borderId="0" xfId="0" quotePrefix="1" applyNumberFormat="1"/>
    <xf numFmtId="48" fontId="1" fillId="10" borderId="0" xfId="0" applyNumberFormat="1" applyFont="1" applyFill="1"/>
    <xf numFmtId="48" fontId="0" fillId="10" borderId="0" xfId="0" applyNumberFormat="1" applyFill="1"/>
    <xf numFmtId="48" fontId="0" fillId="0" borderId="0" xfId="0" applyNumberFormat="1" applyFont="1" applyFill="1"/>
    <xf numFmtId="165" fontId="1" fillId="0" borderId="0" xfId="0" applyNumberFormat="1" applyFont="1" applyAlignment="1">
      <alignment horizontal="right" indent="1"/>
    </xf>
    <xf numFmtId="165" fontId="0" fillId="0" borderId="0" xfId="0" applyNumberFormat="1" applyAlignment="1">
      <alignment horizontal="right" indent="1"/>
    </xf>
    <xf numFmtId="165" fontId="1" fillId="10" borderId="0" xfId="0" applyNumberFormat="1" applyFont="1" applyFill="1" applyAlignment="1">
      <alignment horizontal="right" indent="1"/>
    </xf>
    <xf numFmtId="165" fontId="0" fillId="0" borderId="0" xfId="0" applyNumberFormat="1" applyFont="1" applyFill="1" applyAlignment="1">
      <alignment horizontal="right" indent="1"/>
    </xf>
    <xf numFmtId="165" fontId="0" fillId="10" borderId="0" xfId="0" applyNumberFormat="1" applyFill="1" applyAlignment="1">
      <alignment horizontal="right" indent="1"/>
    </xf>
    <xf numFmtId="168" fontId="0" fillId="0" borderId="0" xfId="0" applyNumberFormat="1" applyAlignment="1">
      <alignment horizontal="right" indent="1"/>
    </xf>
    <xf numFmtId="48" fontId="0" fillId="0" borderId="0" xfId="0" applyNumberFormat="1" applyFill="1"/>
    <xf numFmtId="165" fontId="0" fillId="0" borderId="0" xfId="0" applyNumberFormat="1" applyFill="1" applyAlignment="1">
      <alignment horizontal="right" indent="1"/>
    </xf>
    <xf numFmtId="48" fontId="2" fillId="2" borderId="0" xfId="0" applyNumberFormat="1" applyFont="1" applyFill="1" applyAlignment="1">
      <alignment horizontal="center"/>
    </xf>
    <xf numFmtId="48" fontId="1" fillId="3" borderId="0" xfId="0" applyNumberFormat="1" applyFont="1" applyFill="1" applyAlignment="1">
      <alignment horizontal="center"/>
    </xf>
    <xf numFmtId="48" fontId="0" fillId="0" borderId="0" xfId="0" applyNumberFormat="1"/>
    <xf numFmtId="48" fontId="1" fillId="0" borderId="0" xfId="0" applyNumberFormat="1" applyFont="1" applyAlignment="1">
      <alignment horizontal="center"/>
    </xf>
    <xf numFmtId="166" fontId="1" fillId="5" borderId="1" xfId="0" applyNumberFormat="1" applyFont="1" applyFill="1" applyBorder="1" applyAlignment="1">
      <alignment horizontal="center"/>
    </xf>
    <xf numFmtId="48" fontId="1" fillId="7" borderId="1" xfId="0" applyNumberFormat="1" applyFont="1" applyFill="1" applyBorder="1" applyAlignment="1">
      <alignment horizontal="center"/>
    </xf>
    <xf numFmtId="48" fontId="1" fillId="8" borderId="1" xfId="0" applyNumberFormat="1" applyFont="1" applyFill="1" applyBorder="1" applyAlignment="1">
      <alignment horizontal="center"/>
    </xf>
    <xf numFmtId="48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" fontId="0" fillId="10" borderId="0" xfId="0" applyNumberFormat="1" applyFill="1" applyAlignment="1">
      <alignment horizontal="center"/>
    </xf>
    <xf numFmtId="48" fontId="0" fillId="0" borderId="0" xfId="0" applyNumberFormat="1" applyAlignment="1">
      <alignment horizontal="center"/>
    </xf>
    <xf numFmtId="1" fontId="0" fillId="0" borderId="0" xfId="0" applyNumberFormat="1" applyAlignment="1">
      <alignment horizontal="left" vertical="top" wrapText="1"/>
    </xf>
    <xf numFmtId="48" fontId="1" fillId="2" borderId="1" xfId="0" applyNumberFormat="1" applyFont="1" applyFill="1" applyBorder="1" applyAlignment="1">
      <alignment horizontal="center" vertical="center" wrapText="1"/>
    </xf>
    <xf numFmtId="48" fontId="0" fillId="5" borderId="1" xfId="0" applyNumberFormat="1" applyFill="1" applyBorder="1" applyAlignment="1">
      <alignment horizontal="right"/>
    </xf>
    <xf numFmtId="48" fontId="0" fillId="5" borderId="1" xfId="0" applyNumberFormat="1" applyFill="1" applyBorder="1" applyAlignment="1">
      <alignment horizontal="center"/>
    </xf>
    <xf numFmtId="48" fontId="0" fillId="0" borderId="1" xfId="0" applyNumberFormat="1" applyBorder="1" applyAlignment="1">
      <alignment horizontal="center"/>
    </xf>
    <xf numFmtId="48" fontId="0" fillId="0" borderId="5" xfId="0" applyNumberFormat="1" applyBorder="1" applyAlignment="1">
      <alignment horizontal="left"/>
    </xf>
    <xf numFmtId="48" fontId="0" fillId="0" borderId="6" xfId="0" applyNumberFormat="1" applyBorder="1" applyAlignment="1">
      <alignment horizontal="left"/>
    </xf>
    <xf numFmtId="48" fontId="0" fillId="0" borderId="7" xfId="0" applyNumberForma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48" fontId="1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71" fontId="0" fillId="0" borderId="0" xfId="0" applyNumberFormat="1" applyFont="1" applyFill="1" applyAlignment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Bender" id="{6549F876-954F-4E50-9D96-DCAD606FD80D}" userId="af6c247306ac17a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1-04-11T08:51:03.05" personId="{6549F876-954F-4E50-9D96-DCAD606FD80D}" id="{FFA60E51-68D8-40E0-AD81-3D462F58A241}">
    <text>0 - 7</text>
  </threadedComment>
  <threadedComment ref="E4" dT="2021-04-11T08:51:23.62" personId="{6549F876-954F-4E50-9D96-DCAD606FD80D}" id="{A4AAE497-6092-4FA8-B6E0-70211D6FC7D9}">
    <text>0-3</text>
  </threadedComment>
  <threadedComment ref="E6" dT="2021-04-11T08:51:36.87" personId="{6549F876-954F-4E50-9D96-DCAD606FD80D}" id="{2FFCEE4A-4908-4965-A78B-A9CBEE73B9C5}">
    <text>0-3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OS@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F45F-5DB6-43FA-B77F-304C2B68520C}">
  <dimension ref="A1:G36"/>
  <sheetViews>
    <sheetView topLeftCell="A4" workbookViewId="0">
      <selection activeCell="E7" sqref="E7"/>
    </sheetView>
  </sheetViews>
  <sheetFormatPr defaultRowHeight="15" x14ac:dyDescent="0.25"/>
  <cols>
    <col min="1" max="1" width="6.28515625" style="1" customWidth="1"/>
    <col min="2" max="2" width="21.28515625" style="1" customWidth="1"/>
    <col min="3" max="3" width="15" style="1" customWidth="1"/>
    <col min="4" max="4" width="10.85546875" style="4" customWidth="1"/>
    <col min="5" max="16384" width="9.140625" style="1"/>
  </cols>
  <sheetData>
    <row r="1" spans="1:7" ht="15.75" x14ac:dyDescent="0.25">
      <c r="A1" s="93" t="s">
        <v>21</v>
      </c>
      <c r="B1" s="93"/>
      <c r="C1" s="93"/>
      <c r="D1" s="93"/>
      <c r="E1" s="93"/>
      <c r="F1" s="93"/>
      <c r="G1" s="93"/>
    </row>
    <row r="2" spans="1:7" x14ac:dyDescent="0.25">
      <c r="A2" s="94" t="s">
        <v>25</v>
      </c>
      <c r="B2" s="94"/>
      <c r="C2" s="94"/>
      <c r="D2" s="94"/>
      <c r="E2" s="94"/>
      <c r="F2" s="94"/>
      <c r="G2" s="94"/>
    </row>
    <row r="3" spans="1:7" x14ac:dyDescent="0.25">
      <c r="A3" s="2" t="s">
        <v>6</v>
      </c>
      <c r="B3" s="2" t="s">
        <v>13</v>
      </c>
      <c r="C3" s="2" t="s">
        <v>4</v>
      </c>
      <c r="D3" s="3" t="s">
        <v>7</v>
      </c>
      <c r="E3" s="2" t="s">
        <v>2</v>
      </c>
      <c r="F3" s="2" t="s">
        <v>12</v>
      </c>
      <c r="G3" s="1" t="s">
        <v>18</v>
      </c>
    </row>
    <row r="4" spans="1:7" x14ac:dyDescent="0.25">
      <c r="A4" s="1" t="s">
        <v>27</v>
      </c>
    </row>
    <row r="5" spans="1:7" x14ac:dyDescent="0.25">
      <c r="C5" s="1" t="s">
        <v>8</v>
      </c>
      <c r="E5" s="1">
        <f>I_Clock</f>
        <v>2000000</v>
      </c>
    </row>
    <row r="6" spans="1:7" x14ac:dyDescent="0.25">
      <c r="B6" s="1" t="s">
        <v>10</v>
      </c>
      <c r="C6" s="1" t="s">
        <v>11</v>
      </c>
      <c r="D6" s="4">
        <v>0</v>
      </c>
      <c r="E6" s="1">
        <v>1</v>
      </c>
      <c r="F6" s="1">
        <f>E5/E6</f>
        <v>2000000</v>
      </c>
    </row>
    <row r="7" spans="1:7" x14ac:dyDescent="0.25">
      <c r="B7" s="1" t="s">
        <v>15</v>
      </c>
      <c r="C7" s="1" t="s">
        <v>5</v>
      </c>
      <c r="D7" s="4">
        <f>E5/40000-1</f>
        <v>49</v>
      </c>
      <c r="E7" s="42" t="str">
        <f>DEC2HEX(D7)</f>
        <v>31</v>
      </c>
      <c r="F7" s="1">
        <f>F6/D7</f>
        <v>40816.326530612248</v>
      </c>
      <c r="G7" s="1">
        <f>1/F7</f>
        <v>2.4499999999999999E-5</v>
      </c>
    </row>
    <row r="9" spans="1:7" x14ac:dyDescent="0.25">
      <c r="A9" s="1" t="s">
        <v>9</v>
      </c>
    </row>
    <row r="10" spans="1:7" x14ac:dyDescent="0.25">
      <c r="B10" s="1" t="s">
        <v>8</v>
      </c>
      <c r="F10" s="1">
        <f>I_Clock</f>
        <v>2000000</v>
      </c>
    </row>
    <row r="11" spans="1:7" x14ac:dyDescent="0.25">
      <c r="B11" s="1" t="s">
        <v>14</v>
      </c>
      <c r="D11" s="4">
        <v>49</v>
      </c>
      <c r="F11" s="1">
        <f>1/((D11+1)*(1/I_Clock)*E6)</f>
        <v>40000</v>
      </c>
      <c r="G11" s="1" t="s">
        <v>37</v>
      </c>
    </row>
    <row r="12" spans="1:7" x14ac:dyDescent="0.25">
      <c r="B12" s="1" t="s">
        <v>17</v>
      </c>
      <c r="C12" s="1" t="s">
        <v>16</v>
      </c>
      <c r="D12" s="4">
        <v>100</v>
      </c>
      <c r="F12" s="1">
        <f>D12*(1/P_Clock)*E6</f>
        <v>1.2499999999999999E-5</v>
      </c>
      <c r="G12" s="1">
        <f>1/F11/2</f>
        <v>1.2500000000000001E-5</v>
      </c>
    </row>
    <row r="13" spans="1:7" x14ac:dyDescent="0.25">
      <c r="B13" s="1" t="s">
        <v>20</v>
      </c>
      <c r="C13" s="1" t="s">
        <v>19</v>
      </c>
      <c r="D13" s="4">
        <v>0</v>
      </c>
    </row>
    <row r="14" spans="1:7" x14ac:dyDescent="0.25">
      <c r="B14" s="1" t="s">
        <v>22</v>
      </c>
      <c r="C14" s="1" t="s">
        <v>23</v>
      </c>
      <c r="D14" s="4">
        <v>0</v>
      </c>
      <c r="G14" s="1" t="s">
        <v>24</v>
      </c>
    </row>
    <row r="15" spans="1:7" x14ac:dyDescent="0.25">
      <c r="A15" s="95"/>
      <c r="B15" s="95"/>
      <c r="C15" s="95"/>
      <c r="D15" s="95"/>
      <c r="E15" s="95"/>
      <c r="F15" s="95"/>
      <c r="G15" s="95"/>
    </row>
    <row r="16" spans="1:7" x14ac:dyDescent="0.25">
      <c r="A16" s="94" t="s">
        <v>26</v>
      </c>
      <c r="B16" s="94"/>
      <c r="C16" s="94"/>
      <c r="D16" s="94"/>
      <c r="E16" s="94"/>
      <c r="F16" s="94"/>
      <c r="G16" s="94"/>
    </row>
    <row r="17" spans="1:5" x14ac:dyDescent="0.25">
      <c r="A17" s="1" t="s">
        <v>27</v>
      </c>
      <c r="B17" s="1" t="s">
        <v>4</v>
      </c>
      <c r="C17" s="1" t="s">
        <v>29</v>
      </c>
    </row>
    <row r="18" spans="1:5" x14ac:dyDescent="0.25">
      <c r="B18" s="1" t="s">
        <v>28</v>
      </c>
      <c r="C18" s="1" t="s">
        <v>31</v>
      </c>
      <c r="D18" s="4">
        <v>10</v>
      </c>
      <c r="E18" s="1" t="s">
        <v>30</v>
      </c>
    </row>
    <row r="19" spans="1:5" x14ac:dyDescent="0.25">
      <c r="C19" s="1" t="s">
        <v>32</v>
      </c>
      <c r="D19" s="4">
        <v>1</v>
      </c>
      <c r="E19" s="1" t="s">
        <v>33</v>
      </c>
    </row>
    <row r="20" spans="1:5" x14ac:dyDescent="0.25">
      <c r="C20" s="1" t="s">
        <v>34</v>
      </c>
      <c r="D20" s="4">
        <v>0</v>
      </c>
      <c r="E20" s="1" t="s">
        <v>35</v>
      </c>
    </row>
    <row r="21" spans="1:5" x14ac:dyDescent="0.25">
      <c r="B21" s="1" t="s">
        <v>27</v>
      </c>
      <c r="D21" s="4">
        <v>49</v>
      </c>
      <c r="E21" s="1" t="s">
        <v>36</v>
      </c>
    </row>
    <row r="22" spans="1:5" x14ac:dyDescent="0.25">
      <c r="A22" s="1" t="s">
        <v>9</v>
      </c>
    </row>
    <row r="23" spans="1:5" x14ac:dyDescent="0.25">
      <c r="B23" s="1" t="s">
        <v>38</v>
      </c>
      <c r="E23" s="1" t="s">
        <v>45</v>
      </c>
    </row>
    <row r="24" spans="1:5" x14ac:dyDescent="0.25">
      <c r="C24" s="1" t="s">
        <v>39</v>
      </c>
      <c r="D24" s="4">
        <v>0</v>
      </c>
      <c r="E24" s="1" t="s">
        <v>42</v>
      </c>
    </row>
    <row r="25" spans="1:5" x14ac:dyDescent="0.25">
      <c r="C25" s="1" t="s">
        <v>40</v>
      </c>
      <c r="D25" s="4">
        <v>0</v>
      </c>
      <c r="E25" s="1" t="s">
        <v>41</v>
      </c>
    </row>
    <row r="26" spans="1:5" x14ac:dyDescent="0.25">
      <c r="B26" s="1" t="s">
        <v>43</v>
      </c>
      <c r="E26" s="1" t="s">
        <v>44</v>
      </c>
    </row>
    <row r="27" spans="1:5" x14ac:dyDescent="0.25">
      <c r="C27" s="1" t="s">
        <v>46</v>
      </c>
      <c r="D27" s="4">
        <v>0</v>
      </c>
      <c r="E27" s="1" t="s">
        <v>48</v>
      </c>
    </row>
    <row r="28" spans="1:5" x14ac:dyDescent="0.25">
      <c r="C28" s="1" t="s">
        <v>47</v>
      </c>
      <c r="D28" s="4">
        <v>0</v>
      </c>
      <c r="E28" s="1" t="s">
        <v>49</v>
      </c>
    </row>
    <row r="29" spans="1:5" x14ac:dyDescent="0.25">
      <c r="C29" s="1" t="s">
        <v>50</v>
      </c>
      <c r="D29" s="4">
        <v>0</v>
      </c>
      <c r="E29" s="1" t="s">
        <v>51</v>
      </c>
    </row>
    <row r="30" spans="1:5" x14ac:dyDescent="0.25">
      <c r="C30" s="1" t="s">
        <v>52</v>
      </c>
      <c r="D30" s="4">
        <v>0</v>
      </c>
      <c r="E30" s="1" t="s">
        <v>53</v>
      </c>
    </row>
    <row r="31" spans="1:5" x14ac:dyDescent="0.25">
      <c r="B31" s="1" t="s">
        <v>16</v>
      </c>
      <c r="D31" s="4">
        <v>100</v>
      </c>
      <c r="E31" s="1" t="s">
        <v>54</v>
      </c>
    </row>
    <row r="32" spans="1:5" x14ac:dyDescent="0.25">
      <c r="B32" s="1" t="s">
        <v>55</v>
      </c>
      <c r="D32" s="4">
        <v>0</v>
      </c>
      <c r="E32" s="1" t="s">
        <v>60</v>
      </c>
    </row>
    <row r="33" spans="2:5" x14ac:dyDescent="0.25">
      <c r="B33" s="1" t="s">
        <v>56</v>
      </c>
      <c r="D33" s="4">
        <v>0</v>
      </c>
      <c r="E33" s="1" t="s">
        <v>57</v>
      </c>
    </row>
    <row r="34" spans="2:5" x14ac:dyDescent="0.25">
      <c r="C34" s="1" t="s">
        <v>58</v>
      </c>
      <c r="D34" s="4">
        <v>0</v>
      </c>
      <c r="E34" s="1" t="s">
        <v>61</v>
      </c>
    </row>
    <row r="35" spans="2:5" x14ac:dyDescent="0.25">
      <c r="C35" s="1" t="s">
        <v>62</v>
      </c>
    </row>
    <row r="36" spans="2:5" x14ac:dyDescent="0.25">
      <c r="C36" s="1" t="s">
        <v>59</v>
      </c>
    </row>
  </sheetData>
  <mergeCells count="4">
    <mergeCell ref="A1:G1"/>
    <mergeCell ref="A2:G2"/>
    <mergeCell ref="A15:G15"/>
    <mergeCell ref="A16:G1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BBC1-231B-4CF0-92E2-E4B7221B1DA9}">
  <dimension ref="A2:G6"/>
  <sheetViews>
    <sheetView workbookViewId="0">
      <selection activeCell="E7" sqref="E7"/>
    </sheetView>
  </sheetViews>
  <sheetFormatPr defaultRowHeight="15" x14ac:dyDescent="0.25"/>
  <cols>
    <col min="1" max="1" width="9.140625" style="9"/>
    <col min="2" max="2" width="11" customWidth="1"/>
    <col min="4" max="4" width="11.7109375" customWidth="1"/>
    <col min="5" max="5" width="11" customWidth="1"/>
  </cols>
  <sheetData>
    <row r="2" spans="1:7" x14ac:dyDescent="0.25">
      <c r="A2" s="9" t="s">
        <v>113</v>
      </c>
      <c r="B2" s="5" t="s">
        <v>114</v>
      </c>
      <c r="C2" s="5" t="s">
        <v>115</v>
      </c>
      <c r="D2" s="5" t="s">
        <v>116</v>
      </c>
    </row>
    <row r="3" spans="1:7" x14ac:dyDescent="0.25">
      <c r="A3" s="9">
        <v>0</v>
      </c>
      <c r="B3" s="9"/>
      <c r="C3" s="9" t="s">
        <v>117</v>
      </c>
      <c r="D3" s="9"/>
      <c r="F3">
        <f>HEX2DEC("573f")*256</f>
        <v>5717760</v>
      </c>
      <c r="G3">
        <f>11059200/(F3+1)</f>
        <v>1.9341836778417285</v>
      </c>
    </row>
    <row r="4" spans="1:7" x14ac:dyDescent="0.25">
      <c r="A4" s="9">
        <v>1</v>
      </c>
      <c r="B4" s="9"/>
      <c r="C4" s="9"/>
      <c r="D4" s="9" t="s">
        <v>242</v>
      </c>
    </row>
    <row r="5" spans="1:7" x14ac:dyDescent="0.25">
      <c r="A5" s="9">
        <v>2</v>
      </c>
      <c r="B5" s="9" t="s">
        <v>72</v>
      </c>
      <c r="C5" s="9"/>
      <c r="D5" s="9"/>
    </row>
    <row r="6" spans="1:7" x14ac:dyDescent="0.25">
      <c r="A6" s="9">
        <v>3</v>
      </c>
      <c r="B6" s="9"/>
      <c r="C6" s="9"/>
      <c r="D6" s="9"/>
      <c r="E6" t="s">
        <v>339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EB20-DF6F-400E-8BA3-346F3D452C06}">
  <dimension ref="A1:N41"/>
  <sheetViews>
    <sheetView workbookViewId="0">
      <selection activeCell="C8" sqref="C8"/>
    </sheetView>
  </sheetViews>
  <sheetFormatPr defaultRowHeight="15" x14ac:dyDescent="0.25"/>
  <cols>
    <col min="1" max="1" width="9.140625" style="9"/>
    <col min="2" max="2" width="28.140625" customWidth="1"/>
    <col min="3" max="3" width="30.140625" customWidth="1"/>
    <col min="6" max="6" width="11.7109375" customWidth="1"/>
    <col min="7" max="7" width="13.140625" style="14" customWidth="1"/>
    <col min="8" max="8" width="40.5703125" customWidth="1"/>
    <col min="9" max="9" width="3.28515625" customWidth="1"/>
    <col min="10" max="10" width="16.5703125" customWidth="1"/>
    <col min="11" max="11" width="21.5703125" customWidth="1"/>
    <col min="12" max="12" width="16.140625" style="14" customWidth="1"/>
    <col min="13" max="13" width="24.28515625" style="14" customWidth="1"/>
    <col min="14" max="14" width="27.28515625" customWidth="1"/>
  </cols>
  <sheetData>
    <row r="1" spans="1:14" x14ac:dyDescent="0.25">
      <c r="A1" s="5" t="s">
        <v>118</v>
      </c>
      <c r="B1" s="5" t="s">
        <v>119</v>
      </c>
      <c r="C1" s="5" t="s">
        <v>120</v>
      </c>
      <c r="D1" s="5" t="s">
        <v>121</v>
      </c>
      <c r="F1" s="5" t="s">
        <v>119</v>
      </c>
      <c r="G1" s="13" t="s">
        <v>211</v>
      </c>
      <c r="H1" s="5" t="s">
        <v>13</v>
      </c>
      <c r="J1" s="5" t="s">
        <v>240</v>
      </c>
      <c r="K1" s="5" t="s">
        <v>241</v>
      </c>
      <c r="L1" s="13" t="s">
        <v>64</v>
      </c>
      <c r="M1" s="13" t="s">
        <v>311</v>
      </c>
      <c r="N1" s="5" t="s">
        <v>120</v>
      </c>
    </row>
    <row r="2" spans="1:14" x14ac:dyDescent="0.25">
      <c r="A2" s="9">
        <v>1</v>
      </c>
      <c r="B2" t="s">
        <v>132</v>
      </c>
      <c r="C2" t="s">
        <v>123</v>
      </c>
      <c r="F2" t="s">
        <v>151</v>
      </c>
      <c r="G2" s="14" t="s">
        <v>214</v>
      </c>
      <c r="H2" t="s">
        <v>152</v>
      </c>
      <c r="J2" t="s">
        <v>242</v>
      </c>
      <c r="K2" t="s">
        <v>268</v>
      </c>
      <c r="L2" s="14" t="s">
        <v>269</v>
      </c>
      <c r="N2" t="s">
        <v>321</v>
      </c>
    </row>
    <row r="3" spans="1:14" x14ac:dyDescent="0.25">
      <c r="A3" s="9">
        <v>2</v>
      </c>
      <c r="B3" t="s">
        <v>326</v>
      </c>
      <c r="C3" t="s">
        <v>380</v>
      </c>
      <c r="F3" t="s">
        <v>169</v>
      </c>
      <c r="G3" s="14" t="s">
        <v>231</v>
      </c>
      <c r="H3" t="s">
        <v>209</v>
      </c>
      <c r="J3" t="s">
        <v>72</v>
      </c>
      <c r="K3" t="s">
        <v>270</v>
      </c>
      <c r="L3" s="14" t="s">
        <v>271</v>
      </c>
      <c r="N3" t="s">
        <v>323</v>
      </c>
    </row>
    <row r="4" spans="1:14" x14ac:dyDescent="0.25">
      <c r="A4" s="9">
        <v>3</v>
      </c>
      <c r="B4" t="s">
        <v>124</v>
      </c>
      <c r="C4" t="s">
        <v>381</v>
      </c>
      <c r="F4" t="s">
        <v>172</v>
      </c>
      <c r="G4" s="14" t="s">
        <v>232</v>
      </c>
      <c r="H4" t="s">
        <v>227</v>
      </c>
      <c r="J4" t="s">
        <v>263</v>
      </c>
      <c r="K4" t="s">
        <v>272</v>
      </c>
      <c r="L4" s="14" t="s">
        <v>273</v>
      </c>
      <c r="N4" t="s">
        <v>324</v>
      </c>
    </row>
    <row r="5" spans="1:14" x14ac:dyDescent="0.25">
      <c r="A5" s="9">
        <v>4</v>
      </c>
      <c r="B5" t="s">
        <v>125</v>
      </c>
      <c r="C5" t="s">
        <v>382</v>
      </c>
      <c r="F5" t="s">
        <v>166</v>
      </c>
      <c r="G5" s="14" t="s">
        <v>212</v>
      </c>
      <c r="H5" t="s">
        <v>190</v>
      </c>
      <c r="J5" t="s">
        <v>264</v>
      </c>
      <c r="K5" t="s">
        <v>266</v>
      </c>
      <c r="L5" s="14" t="s">
        <v>267</v>
      </c>
      <c r="N5" t="s">
        <v>324</v>
      </c>
    </row>
    <row r="6" spans="1:14" x14ac:dyDescent="0.25">
      <c r="A6" s="9">
        <v>5</v>
      </c>
      <c r="B6" t="s">
        <v>327</v>
      </c>
      <c r="C6" t="s">
        <v>383</v>
      </c>
      <c r="F6" t="s">
        <v>191</v>
      </c>
      <c r="G6" s="14" t="s">
        <v>215</v>
      </c>
      <c r="H6" t="s">
        <v>192</v>
      </c>
      <c r="J6" t="s">
        <v>259</v>
      </c>
      <c r="K6" t="s">
        <v>261</v>
      </c>
      <c r="L6" s="14" t="s">
        <v>262</v>
      </c>
      <c r="N6" t="s">
        <v>309</v>
      </c>
    </row>
    <row r="7" spans="1:14" x14ac:dyDescent="0.25">
      <c r="A7" s="9">
        <v>6</v>
      </c>
      <c r="B7" t="s">
        <v>289</v>
      </c>
      <c r="C7" t="s">
        <v>324</v>
      </c>
      <c r="F7" t="s">
        <v>164</v>
      </c>
      <c r="G7" s="14" t="s">
        <v>219</v>
      </c>
      <c r="H7" t="s">
        <v>193</v>
      </c>
      <c r="J7" t="s">
        <v>243</v>
      </c>
      <c r="K7" t="s">
        <v>248</v>
      </c>
      <c r="L7" s="14" t="s">
        <v>212</v>
      </c>
      <c r="N7" t="s">
        <v>310</v>
      </c>
    </row>
    <row r="8" spans="1:14" x14ac:dyDescent="0.25">
      <c r="A8" s="9">
        <v>7</v>
      </c>
      <c r="B8" t="s">
        <v>126</v>
      </c>
      <c r="C8" t="s">
        <v>384</v>
      </c>
      <c r="F8" t="s">
        <v>171</v>
      </c>
      <c r="G8" s="14" t="s">
        <v>225</v>
      </c>
      <c r="H8" t="s">
        <v>186</v>
      </c>
      <c r="J8" t="s">
        <v>316</v>
      </c>
      <c r="K8" t="s">
        <v>274</v>
      </c>
      <c r="L8" s="14" t="s">
        <v>297</v>
      </c>
      <c r="N8" t="s">
        <v>308</v>
      </c>
    </row>
    <row r="9" spans="1:14" x14ac:dyDescent="0.25">
      <c r="A9" s="9">
        <v>8</v>
      </c>
      <c r="B9" t="s">
        <v>127</v>
      </c>
      <c r="C9" t="s">
        <v>127</v>
      </c>
      <c r="F9" t="s">
        <v>228</v>
      </c>
      <c r="G9" s="14" t="s">
        <v>229</v>
      </c>
      <c r="H9" t="s">
        <v>230</v>
      </c>
      <c r="J9" t="s">
        <v>315</v>
      </c>
      <c r="K9" t="s">
        <v>317</v>
      </c>
      <c r="L9" s="14" t="s">
        <v>318</v>
      </c>
      <c r="N9" t="s">
        <v>247</v>
      </c>
    </row>
    <row r="10" spans="1:14" x14ac:dyDescent="0.25">
      <c r="A10" s="9">
        <v>9</v>
      </c>
      <c r="B10" t="s">
        <v>128</v>
      </c>
      <c r="C10" t="s">
        <v>280</v>
      </c>
      <c r="F10" t="s">
        <v>176</v>
      </c>
      <c r="G10" s="14" t="s">
        <v>220</v>
      </c>
      <c r="H10" t="s">
        <v>198</v>
      </c>
      <c r="J10" t="s">
        <v>254</v>
      </c>
      <c r="K10" t="s">
        <v>258</v>
      </c>
      <c r="L10" s="14" t="s">
        <v>257</v>
      </c>
      <c r="N10" t="s">
        <v>309</v>
      </c>
    </row>
    <row r="11" spans="1:14" x14ac:dyDescent="0.25">
      <c r="A11" s="9">
        <v>10</v>
      </c>
      <c r="B11" t="s">
        <v>129</v>
      </c>
      <c r="C11" t="s">
        <v>280</v>
      </c>
      <c r="F11" t="s">
        <v>163</v>
      </c>
      <c r="G11" s="14" t="s">
        <v>218</v>
      </c>
      <c r="H11" t="s">
        <v>197</v>
      </c>
      <c r="J11" t="s">
        <v>277</v>
      </c>
      <c r="K11" t="s">
        <v>278</v>
      </c>
      <c r="L11" s="14" t="s">
        <v>279</v>
      </c>
      <c r="N11" t="s">
        <v>324</v>
      </c>
    </row>
    <row r="12" spans="1:14" x14ac:dyDescent="0.25">
      <c r="A12" s="9">
        <v>11</v>
      </c>
      <c r="B12" t="s">
        <v>130</v>
      </c>
      <c r="C12" t="s">
        <v>324</v>
      </c>
      <c r="F12" t="s">
        <v>174</v>
      </c>
      <c r="G12" s="14" t="s">
        <v>224</v>
      </c>
      <c r="H12" t="s">
        <v>175</v>
      </c>
      <c r="J12" t="s">
        <v>287</v>
      </c>
      <c r="K12" t="s">
        <v>288</v>
      </c>
      <c r="L12" s="14" t="s">
        <v>290</v>
      </c>
      <c r="M12" s="14" t="s">
        <v>312</v>
      </c>
      <c r="N12" t="s">
        <v>319</v>
      </c>
    </row>
    <row r="13" spans="1:14" x14ac:dyDescent="0.25">
      <c r="A13" s="9">
        <v>12</v>
      </c>
      <c r="B13" t="s">
        <v>131</v>
      </c>
      <c r="C13" t="s">
        <v>385</v>
      </c>
      <c r="F13" t="s">
        <v>182</v>
      </c>
      <c r="G13" s="14" t="s">
        <v>223</v>
      </c>
      <c r="H13" t="s">
        <v>204</v>
      </c>
      <c r="J13" t="s">
        <v>284</v>
      </c>
      <c r="K13" t="s">
        <v>285</v>
      </c>
      <c r="L13" s="14" t="s">
        <v>286</v>
      </c>
      <c r="M13" s="14" t="s">
        <v>313</v>
      </c>
      <c r="N13" t="s">
        <v>320</v>
      </c>
    </row>
    <row r="14" spans="1:14" x14ac:dyDescent="0.25">
      <c r="A14" s="9">
        <v>13</v>
      </c>
      <c r="B14" t="s">
        <v>133</v>
      </c>
      <c r="C14" t="s">
        <v>386</v>
      </c>
      <c r="F14" t="s">
        <v>153</v>
      </c>
      <c r="G14" s="14">
        <v>1</v>
      </c>
      <c r="H14" t="s">
        <v>154</v>
      </c>
      <c r="J14" t="s">
        <v>305</v>
      </c>
      <c r="K14" t="s">
        <v>307</v>
      </c>
      <c r="M14" s="14" t="s">
        <v>314</v>
      </c>
      <c r="N14" t="s">
        <v>324</v>
      </c>
    </row>
    <row r="15" spans="1:14" x14ac:dyDescent="0.25">
      <c r="A15" s="9">
        <v>14</v>
      </c>
      <c r="B15" t="s">
        <v>134</v>
      </c>
      <c r="C15" t="s">
        <v>324</v>
      </c>
      <c r="F15" t="s">
        <v>165</v>
      </c>
      <c r="G15" s="14" t="s">
        <v>212</v>
      </c>
      <c r="H15" t="s">
        <v>189</v>
      </c>
      <c r="J15" t="s">
        <v>306</v>
      </c>
      <c r="K15" t="s">
        <v>285</v>
      </c>
      <c r="L15" s="14" t="s">
        <v>286</v>
      </c>
      <c r="M15" s="14" t="s">
        <v>313</v>
      </c>
      <c r="N15" t="s">
        <v>322</v>
      </c>
    </row>
    <row r="16" spans="1:14" x14ac:dyDescent="0.25">
      <c r="A16" s="9">
        <v>15</v>
      </c>
      <c r="B16" t="s">
        <v>135</v>
      </c>
      <c r="C16" t="s">
        <v>282</v>
      </c>
      <c r="F16" t="s">
        <v>183</v>
      </c>
      <c r="G16" s="14" t="s">
        <v>235</v>
      </c>
      <c r="H16" t="s">
        <v>234</v>
      </c>
      <c r="J16" t="s">
        <v>244</v>
      </c>
      <c r="K16" t="s">
        <v>245</v>
      </c>
      <c r="L16" s="14" t="s">
        <v>246</v>
      </c>
      <c r="N16" t="s">
        <v>309</v>
      </c>
    </row>
    <row r="17" spans="1:8" x14ac:dyDescent="0.25">
      <c r="A17" s="9">
        <v>16</v>
      </c>
      <c r="B17" t="s">
        <v>136</v>
      </c>
      <c r="C17" t="s">
        <v>283</v>
      </c>
      <c r="F17" t="s">
        <v>185</v>
      </c>
      <c r="G17" s="14" t="s">
        <v>236</v>
      </c>
      <c r="H17" t="s">
        <v>205</v>
      </c>
    </row>
    <row r="18" spans="1:8" x14ac:dyDescent="0.25">
      <c r="A18" s="9">
        <v>17</v>
      </c>
      <c r="B18" t="s">
        <v>137</v>
      </c>
      <c r="C18" t="s">
        <v>324</v>
      </c>
      <c r="F18" t="s">
        <v>184</v>
      </c>
      <c r="G18" s="14" t="s">
        <v>237</v>
      </c>
      <c r="H18" t="s">
        <v>233</v>
      </c>
    </row>
    <row r="19" spans="1:8" x14ac:dyDescent="0.25">
      <c r="A19" s="9">
        <v>18</v>
      </c>
      <c r="B19" t="s">
        <v>138</v>
      </c>
      <c r="C19" t="s">
        <v>324</v>
      </c>
      <c r="F19" t="s">
        <v>161</v>
      </c>
      <c r="G19" s="14" t="s">
        <v>216</v>
      </c>
      <c r="H19" t="s">
        <v>195</v>
      </c>
    </row>
    <row r="20" spans="1:8" x14ac:dyDescent="0.25">
      <c r="A20" s="9">
        <v>19</v>
      </c>
      <c r="B20" t="s">
        <v>139</v>
      </c>
      <c r="C20" t="s">
        <v>281</v>
      </c>
      <c r="F20" t="s">
        <v>173</v>
      </c>
      <c r="G20" s="14" t="s">
        <v>238</v>
      </c>
      <c r="H20" t="s">
        <v>226</v>
      </c>
    </row>
    <row r="21" spans="1:8" x14ac:dyDescent="0.25">
      <c r="A21" s="9">
        <v>20</v>
      </c>
      <c r="B21" t="s">
        <v>140</v>
      </c>
      <c r="C21" t="s">
        <v>156</v>
      </c>
      <c r="F21" t="s">
        <v>149</v>
      </c>
      <c r="G21" s="14" t="s">
        <v>214</v>
      </c>
      <c r="H21" t="s">
        <v>150</v>
      </c>
    </row>
    <row r="22" spans="1:8" x14ac:dyDescent="0.25">
      <c r="A22" s="9">
        <v>21</v>
      </c>
      <c r="B22" t="s">
        <v>141</v>
      </c>
      <c r="C22" t="s">
        <v>325</v>
      </c>
      <c r="F22" t="s">
        <v>178</v>
      </c>
      <c r="G22" s="14" t="s">
        <v>275</v>
      </c>
      <c r="H22" t="s">
        <v>200</v>
      </c>
    </row>
    <row r="23" spans="1:8" x14ac:dyDescent="0.25">
      <c r="A23" s="9">
        <v>22</v>
      </c>
      <c r="B23" t="s">
        <v>142</v>
      </c>
      <c r="C23" t="s">
        <v>325</v>
      </c>
      <c r="F23" t="s">
        <v>179</v>
      </c>
      <c r="G23" s="14" t="s">
        <v>275</v>
      </c>
      <c r="H23" t="s">
        <v>201</v>
      </c>
    </row>
    <row r="24" spans="1:8" x14ac:dyDescent="0.25">
      <c r="A24" s="9">
        <v>23</v>
      </c>
      <c r="B24" t="s">
        <v>143</v>
      </c>
      <c r="C24" t="s">
        <v>325</v>
      </c>
      <c r="F24" t="s">
        <v>221</v>
      </c>
      <c r="G24" s="14" t="s">
        <v>276</v>
      </c>
      <c r="H24" t="s">
        <v>222</v>
      </c>
    </row>
    <row r="25" spans="1:8" x14ac:dyDescent="0.25">
      <c r="A25" s="9">
        <v>24</v>
      </c>
      <c r="B25" t="s">
        <v>144</v>
      </c>
      <c r="C25" t="s">
        <v>325</v>
      </c>
      <c r="F25" t="s">
        <v>177</v>
      </c>
      <c r="G25" s="14" t="s">
        <v>220</v>
      </c>
      <c r="H25" t="s">
        <v>199</v>
      </c>
    </row>
    <row r="26" spans="1:8" x14ac:dyDescent="0.25">
      <c r="A26" s="9">
        <v>25</v>
      </c>
      <c r="B26" t="s">
        <v>145</v>
      </c>
      <c r="C26" t="s">
        <v>325</v>
      </c>
      <c r="F26" s="12" t="s">
        <v>162</v>
      </c>
      <c r="G26" s="15" t="s">
        <v>218</v>
      </c>
      <c r="H26" t="s">
        <v>260</v>
      </c>
    </row>
    <row r="27" spans="1:8" x14ac:dyDescent="0.25">
      <c r="A27" s="9">
        <v>26</v>
      </c>
      <c r="B27" t="s">
        <v>298</v>
      </c>
      <c r="C27" t="s">
        <v>325</v>
      </c>
      <c r="F27" t="s">
        <v>160</v>
      </c>
      <c r="H27" t="s">
        <v>194</v>
      </c>
    </row>
    <row r="28" spans="1:8" x14ac:dyDescent="0.25">
      <c r="A28" s="9">
        <v>27</v>
      </c>
      <c r="B28" t="s">
        <v>146</v>
      </c>
      <c r="C28" t="s">
        <v>325</v>
      </c>
      <c r="F28" t="s">
        <v>167</v>
      </c>
      <c r="H28" t="s">
        <v>208</v>
      </c>
    </row>
    <row r="29" spans="1:8" x14ac:dyDescent="0.25">
      <c r="A29" s="9">
        <v>28</v>
      </c>
      <c r="B29" t="s">
        <v>147</v>
      </c>
      <c r="C29" t="s">
        <v>325</v>
      </c>
      <c r="F29" t="s">
        <v>168</v>
      </c>
      <c r="H29" t="s">
        <v>207</v>
      </c>
    </row>
    <row r="30" spans="1:8" x14ac:dyDescent="0.25">
      <c r="B30" t="s">
        <v>148</v>
      </c>
      <c r="F30" t="s">
        <v>170</v>
      </c>
      <c r="H30" t="s">
        <v>206</v>
      </c>
    </row>
    <row r="31" spans="1:8" x14ac:dyDescent="0.25">
      <c r="F31" t="s">
        <v>122</v>
      </c>
      <c r="G31" s="14" t="s">
        <v>256</v>
      </c>
      <c r="H31" t="s">
        <v>156</v>
      </c>
    </row>
    <row r="32" spans="1:8" x14ac:dyDescent="0.25">
      <c r="F32" t="s">
        <v>210</v>
      </c>
      <c r="G32" s="14" t="s">
        <v>265</v>
      </c>
      <c r="H32" t="s">
        <v>196</v>
      </c>
    </row>
    <row r="33" spans="6:8" x14ac:dyDescent="0.25">
      <c r="F33" t="s">
        <v>180</v>
      </c>
      <c r="G33" s="14" t="s">
        <v>249</v>
      </c>
      <c r="H33" t="s">
        <v>202</v>
      </c>
    </row>
    <row r="34" spans="6:8" x14ac:dyDescent="0.25">
      <c r="F34" t="s">
        <v>251</v>
      </c>
      <c r="G34" s="14" t="s">
        <v>252</v>
      </c>
      <c r="H34" t="s">
        <v>253</v>
      </c>
    </row>
    <row r="35" spans="6:8" x14ac:dyDescent="0.25">
      <c r="F35" t="s">
        <v>181</v>
      </c>
      <c r="G35" s="14" t="s">
        <v>250</v>
      </c>
      <c r="H35" t="s">
        <v>203</v>
      </c>
    </row>
    <row r="36" spans="6:8" x14ac:dyDescent="0.25">
      <c r="F36" t="s">
        <v>155</v>
      </c>
      <c r="G36" s="14" t="s">
        <v>213</v>
      </c>
      <c r="H36" t="s">
        <v>188</v>
      </c>
    </row>
    <row r="37" spans="6:8" x14ac:dyDescent="0.25">
      <c r="F37" t="s">
        <v>158</v>
      </c>
      <c r="G37" s="14" t="s">
        <v>217</v>
      </c>
      <c r="H37" t="s">
        <v>159</v>
      </c>
    </row>
    <row r="38" spans="6:8" x14ac:dyDescent="0.25">
      <c r="F38" t="s">
        <v>127</v>
      </c>
      <c r="G38" s="14" t="s">
        <v>255</v>
      </c>
      <c r="H38" t="s">
        <v>157</v>
      </c>
    </row>
    <row r="39" spans="6:8" x14ac:dyDescent="0.25">
      <c r="F39" t="s">
        <v>134</v>
      </c>
      <c r="G39" s="14" t="s">
        <v>239</v>
      </c>
      <c r="H39" t="s">
        <v>187</v>
      </c>
    </row>
    <row r="40" spans="6:8" x14ac:dyDescent="0.25">
      <c r="F40" t="s">
        <v>340</v>
      </c>
      <c r="G40" s="14" t="s">
        <v>344</v>
      </c>
      <c r="H40" t="s">
        <v>341</v>
      </c>
    </row>
    <row r="41" spans="6:8" x14ac:dyDescent="0.25">
      <c r="F41" t="s">
        <v>342</v>
      </c>
      <c r="G41" s="14" t="s">
        <v>307</v>
      </c>
      <c r="H41" t="s">
        <v>343</v>
      </c>
    </row>
  </sheetData>
  <sortState xmlns:xlrd2="http://schemas.microsoft.com/office/spreadsheetml/2017/richdata2" ref="J2:N16">
    <sortCondition ref="J2:J16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F652D-8C4B-458B-B167-3CDEA18EE603}">
  <dimension ref="A1:G36"/>
  <sheetViews>
    <sheetView topLeftCell="A13" workbookViewId="0">
      <selection activeCell="C40" sqref="C40"/>
    </sheetView>
  </sheetViews>
  <sheetFormatPr defaultRowHeight="15" x14ac:dyDescent="0.25"/>
  <cols>
    <col min="1" max="1" width="22.85546875" style="64" customWidth="1"/>
    <col min="2" max="2" width="16.42578125" style="86" customWidth="1"/>
    <col min="3" max="3" width="9.140625" style="64" customWidth="1"/>
    <col min="4" max="4" width="48.28515625" style="14" customWidth="1"/>
    <col min="5" max="5" width="9.140625" style="64"/>
    <col min="6" max="6" width="13.85546875" style="64" customWidth="1"/>
    <col min="7" max="7" width="13.28515625" style="64" customWidth="1"/>
    <col min="8" max="16384" width="9.140625" style="64"/>
  </cols>
  <sheetData>
    <row r="1" spans="1:7" x14ac:dyDescent="0.25">
      <c r="A1" s="2" t="s">
        <v>397</v>
      </c>
      <c r="B1" s="85" t="s">
        <v>2</v>
      </c>
      <c r="C1" s="2" t="s">
        <v>398</v>
      </c>
      <c r="D1" s="13" t="s">
        <v>399</v>
      </c>
    </row>
    <row r="2" spans="1:7" x14ac:dyDescent="0.25">
      <c r="A2" s="64" t="s">
        <v>454</v>
      </c>
      <c r="B2" s="86">
        <f>SOS_at_0</f>
        <v>331.3</v>
      </c>
      <c r="C2" s="64" t="s">
        <v>400</v>
      </c>
      <c r="D2" s="14" t="s">
        <v>457</v>
      </c>
      <c r="G2" s="72"/>
    </row>
    <row r="3" spans="1:7" x14ac:dyDescent="0.25">
      <c r="A3" s="64" t="s">
        <v>388</v>
      </c>
      <c r="B3" s="86">
        <f>Air_Temp</f>
        <v>20</v>
      </c>
      <c r="C3" s="64" t="s">
        <v>389</v>
      </c>
      <c r="D3" s="14" t="s">
        <v>457</v>
      </c>
      <c r="G3" s="72"/>
    </row>
    <row r="4" spans="1:7" x14ac:dyDescent="0.25">
      <c r="A4" s="64" t="s">
        <v>455</v>
      </c>
      <c r="B4" s="86">
        <f>SOS_at_0*SQRT(1+(Air_Temp/Abs_Zero_K))</f>
        <v>343.21462268256795</v>
      </c>
      <c r="C4" s="64" t="s">
        <v>400</v>
      </c>
      <c r="D4" s="14" t="s">
        <v>456</v>
      </c>
      <c r="G4" s="72"/>
    </row>
    <row r="5" spans="1:7" x14ac:dyDescent="0.25">
      <c r="A5" s="64" t="s">
        <v>401</v>
      </c>
      <c r="B5" s="86">
        <f>PI()*((TankDiam_In*25.4)/2)^2</f>
        <v>1167454.0318406345</v>
      </c>
      <c r="C5" s="64" t="s">
        <v>396</v>
      </c>
      <c r="D5" s="14" t="s">
        <v>419</v>
      </c>
      <c r="G5" s="72"/>
    </row>
    <row r="6" spans="1:7" x14ac:dyDescent="0.25">
      <c r="A6" s="64" t="s">
        <v>406</v>
      </c>
      <c r="B6" s="86">
        <f>TankSurfArea_mm2*WaterVol_G_per_mm3</f>
        <v>0.30840872720701373</v>
      </c>
      <c r="C6" s="64" t="s">
        <v>408</v>
      </c>
      <c r="D6" s="14" t="s">
        <v>420</v>
      </c>
      <c r="G6" s="72"/>
    </row>
    <row r="7" spans="1:7" x14ac:dyDescent="0.25">
      <c r="A7" s="64" t="s">
        <v>409</v>
      </c>
      <c r="B7" s="86">
        <f>TankHeight_In*25.4*B6</f>
        <v>564.01788031618673</v>
      </c>
      <c r="D7" s="14" t="s">
        <v>421</v>
      </c>
      <c r="G7" s="72"/>
    </row>
    <row r="8" spans="1:7" x14ac:dyDescent="0.25">
      <c r="A8" s="64" t="s">
        <v>410</v>
      </c>
      <c r="B8" s="86">
        <f>SOS_at_Temp*TickPeriod_S/2</f>
        <v>8.5803655670641985E-5</v>
      </c>
      <c r="C8" s="64" t="s">
        <v>349</v>
      </c>
      <c r="D8" s="14" t="s">
        <v>448</v>
      </c>
      <c r="G8" s="72"/>
    </row>
    <row r="9" spans="1:7" x14ac:dyDescent="0.25">
      <c r="A9" s="64" t="s">
        <v>387</v>
      </c>
      <c r="B9" s="86">
        <f>B8*B6</f>
        <v>2.6462596235091561E-5</v>
      </c>
      <c r="C9" s="64" t="s">
        <v>414</v>
      </c>
      <c r="D9" s="14" t="s">
        <v>422</v>
      </c>
      <c r="G9" s="72"/>
    </row>
    <row r="10" spans="1:7" x14ac:dyDescent="0.25">
      <c r="A10" s="64" t="s">
        <v>415</v>
      </c>
      <c r="B10" s="86">
        <f>TankHeight_In*25.4</f>
        <v>1828.8</v>
      </c>
      <c r="C10" s="64" t="s">
        <v>347</v>
      </c>
      <c r="D10" s="14" t="s">
        <v>423</v>
      </c>
      <c r="G10" s="72"/>
    </row>
    <row r="11" spans="1:7" x14ac:dyDescent="0.25">
      <c r="A11" s="64" t="s">
        <v>416</v>
      </c>
      <c r="B11" s="86">
        <f>B10/B8</f>
        <v>21313777.201053802</v>
      </c>
      <c r="C11" s="64" t="s">
        <v>417</v>
      </c>
      <c r="D11" s="14" t="s">
        <v>418</v>
      </c>
      <c r="G11" s="72"/>
    </row>
    <row r="12" spans="1:7" x14ac:dyDescent="0.25">
      <c r="G12" s="72"/>
    </row>
    <row r="13" spans="1:7" x14ac:dyDescent="0.25">
      <c r="A13" s="96" t="s">
        <v>424</v>
      </c>
      <c r="B13" s="96"/>
      <c r="C13" s="96"/>
    </row>
    <row r="14" spans="1:7" x14ac:dyDescent="0.25">
      <c r="A14" s="82" t="s">
        <v>440</v>
      </c>
      <c r="B14" s="87"/>
      <c r="C14" s="82"/>
    </row>
    <row r="15" spans="1:7" x14ac:dyDescent="0.25">
      <c r="A15" s="84" t="s">
        <v>458</v>
      </c>
      <c r="B15" s="88">
        <v>331300</v>
      </c>
      <c r="C15" s="84" t="s">
        <v>434</v>
      </c>
    </row>
    <row r="16" spans="1:7" x14ac:dyDescent="0.25">
      <c r="A16" s="84" t="s">
        <v>439</v>
      </c>
      <c r="B16" s="118">
        <v>3.1415926000000001</v>
      </c>
      <c r="C16" s="84"/>
    </row>
    <row r="17" spans="1:4" x14ac:dyDescent="0.25">
      <c r="A17" s="64" t="s">
        <v>429</v>
      </c>
      <c r="B17" s="86">
        <v>273.14999999999998</v>
      </c>
      <c r="C17" s="84"/>
    </row>
    <row r="18" spans="1:4" x14ac:dyDescent="0.25">
      <c r="A18" s="64" t="s">
        <v>431</v>
      </c>
      <c r="B18" s="90">
        <f>WaterVol_G_per_mm3</f>
        <v>2.6417205199999999E-7</v>
      </c>
    </row>
    <row r="19" spans="1:4" x14ac:dyDescent="0.25">
      <c r="A19" s="64" t="s">
        <v>430</v>
      </c>
      <c r="B19" s="86">
        <v>20</v>
      </c>
      <c r="C19" s="64" t="s">
        <v>389</v>
      </c>
    </row>
    <row r="20" spans="1:4" x14ac:dyDescent="0.25">
      <c r="A20" s="64" t="s">
        <v>432</v>
      </c>
      <c r="B20" s="86">
        <f>TickPeriod_S</f>
        <v>4.9999999999999998E-7</v>
      </c>
    </row>
    <row r="21" spans="1:4" x14ac:dyDescent="0.25">
      <c r="A21" s="83" t="s">
        <v>425</v>
      </c>
      <c r="B21" s="89"/>
      <c r="C21" s="83"/>
    </row>
    <row r="22" spans="1:4" x14ac:dyDescent="0.25">
      <c r="A22" s="64" t="s">
        <v>427</v>
      </c>
      <c r="B22" s="86">
        <v>48</v>
      </c>
    </row>
    <row r="23" spans="1:4" x14ac:dyDescent="0.25">
      <c r="A23" s="64" t="s">
        <v>426</v>
      </c>
      <c r="B23" s="86">
        <v>72</v>
      </c>
    </row>
    <row r="24" spans="1:4" x14ac:dyDescent="0.25">
      <c r="A24" s="83" t="s">
        <v>428</v>
      </c>
      <c r="B24" s="89"/>
      <c r="C24" s="83"/>
    </row>
    <row r="25" spans="1:4" x14ac:dyDescent="0.25">
      <c r="A25" s="64" t="s">
        <v>460</v>
      </c>
      <c r="B25" s="86">
        <f>PI()*(gc_TankDiam_In*25.4/2)^2</f>
        <v>1167454.0318406345</v>
      </c>
      <c r="C25" s="64" t="s">
        <v>396</v>
      </c>
      <c r="D25" s="14" t="s">
        <v>438</v>
      </c>
    </row>
    <row r="26" spans="1:4" x14ac:dyDescent="0.25">
      <c r="A26" s="64" t="s">
        <v>441</v>
      </c>
      <c r="B26" s="86">
        <f>gc_TankHeight_In*25.4</f>
        <v>1828.8</v>
      </c>
      <c r="C26" s="64" t="s">
        <v>347</v>
      </c>
      <c r="D26" s="14" t="s">
        <v>461</v>
      </c>
    </row>
    <row r="27" spans="1:4" x14ac:dyDescent="0.25">
      <c r="A27" s="64" t="s">
        <v>449</v>
      </c>
      <c r="B27" s="86">
        <f>gd_TankSurfArea*gc_GalsPer_mm3</f>
        <v>0.30840872720701373</v>
      </c>
      <c r="C27" s="64" t="s">
        <v>408</v>
      </c>
      <c r="D27" s="14" t="s">
        <v>420</v>
      </c>
    </row>
    <row r="28" spans="1:4" x14ac:dyDescent="0.25">
      <c r="A28" s="83" t="s">
        <v>433</v>
      </c>
      <c r="B28" s="89"/>
      <c r="C28" s="83"/>
    </row>
    <row r="29" spans="1:4" x14ac:dyDescent="0.25">
      <c r="A29" s="91" t="s">
        <v>459</v>
      </c>
      <c r="B29" s="92">
        <f>gc_DefaultTemp</f>
        <v>20</v>
      </c>
      <c r="C29" s="91"/>
    </row>
    <row r="30" spans="1:4" x14ac:dyDescent="0.25">
      <c r="A30" s="64" t="s">
        <v>435</v>
      </c>
      <c r="B30" s="86">
        <f>gc_SOS_at_0*SQRT(1+(d_CurrTemp/gc_AbsZero))</f>
        <v>343214.62268256792</v>
      </c>
      <c r="C30" s="64" t="s">
        <v>346</v>
      </c>
      <c r="D30" s="14" t="s">
        <v>462</v>
      </c>
    </row>
    <row r="31" spans="1:4" x14ac:dyDescent="0.25">
      <c r="A31" s="64" t="s">
        <v>436</v>
      </c>
      <c r="B31" s="86">
        <f>d_SOS*gc_TickPeriod / 2</f>
        <v>8.5803655670641979E-2</v>
      </c>
      <c r="D31" s="14" t="s">
        <v>437</v>
      </c>
    </row>
    <row r="32" spans="1:4" x14ac:dyDescent="0.25">
      <c r="A32" s="64" t="s">
        <v>442</v>
      </c>
      <c r="B32" s="4">
        <v>10000</v>
      </c>
      <c r="D32" s="14" t="s">
        <v>443</v>
      </c>
    </row>
    <row r="33" spans="1:4" x14ac:dyDescent="0.25">
      <c r="A33" s="64" t="s">
        <v>444</v>
      </c>
      <c r="B33" s="86">
        <f>B32*B31</f>
        <v>858.03655670641979</v>
      </c>
      <c r="C33" s="64" t="s">
        <v>347</v>
      </c>
      <c r="D33" s="14" t="s">
        <v>445</v>
      </c>
    </row>
    <row r="34" spans="1:4" x14ac:dyDescent="0.25">
      <c r="A34" s="64" t="s">
        <v>446</v>
      </c>
      <c r="B34" s="86">
        <f>gd_TankHeight_mm-d_EmptySpace</f>
        <v>970.76344329358017</v>
      </c>
      <c r="C34" s="64" t="s">
        <v>347</v>
      </c>
      <c r="D34" s="14" t="s">
        <v>447</v>
      </c>
    </row>
    <row r="35" spans="1:4" x14ac:dyDescent="0.25">
      <c r="A35" s="64" t="s">
        <v>450</v>
      </c>
      <c r="B35" s="86">
        <f>d_WaterHeight*gd_TankGalsPer_mm</f>
        <v>299.39191796527109</v>
      </c>
      <c r="C35" s="64" t="s">
        <v>407</v>
      </c>
      <c r="D35" s="14" t="s">
        <v>451</v>
      </c>
    </row>
    <row r="36" spans="1:4" x14ac:dyDescent="0.25">
      <c r="A36" s="64" t="s">
        <v>463</v>
      </c>
      <c r="B36" s="4">
        <f>ROUND(B35,0)</f>
        <v>299</v>
      </c>
      <c r="D36" s="14" t="s">
        <v>464</v>
      </c>
    </row>
  </sheetData>
  <mergeCells count="1">
    <mergeCell ref="A13:C13"/>
  </mergeCells>
  <hyperlinks>
    <hyperlink ref="A2" r:id="rId1" display="SOS@0" xr:uid="{60D36334-685E-471C-87F6-E06A3441DEEF}"/>
  </hyperlinks>
  <pageMargins left="0.7" right="0.7" top="0.75" bottom="0.75" header="0.3" footer="0.3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C312-A3E8-4345-B9E8-FA463D8D0ED0}">
  <dimension ref="A3:F27"/>
  <sheetViews>
    <sheetView topLeftCell="A4" workbookViewId="0">
      <selection activeCell="E20" sqref="E20"/>
    </sheetView>
  </sheetViews>
  <sheetFormatPr defaultRowHeight="15" x14ac:dyDescent="0.25"/>
  <cols>
    <col min="2" max="2" width="11.7109375" customWidth="1"/>
    <col min="3" max="3" width="12.28515625" customWidth="1"/>
    <col min="4" max="4" width="11.5703125" style="7" customWidth="1"/>
    <col min="5" max="5" width="17.42578125" customWidth="1"/>
    <col min="6" max="6" width="28.7109375" customWidth="1"/>
  </cols>
  <sheetData>
    <row r="3" spans="1:6" x14ac:dyDescent="0.25">
      <c r="A3" s="5" t="s">
        <v>63</v>
      </c>
      <c r="B3" s="5" t="s">
        <v>4</v>
      </c>
      <c r="C3" s="5" t="s">
        <v>64</v>
      </c>
      <c r="D3" s="6" t="s">
        <v>2</v>
      </c>
      <c r="E3" s="5" t="s">
        <v>69</v>
      </c>
      <c r="F3" s="5" t="s">
        <v>68</v>
      </c>
    </row>
    <row r="4" spans="1:6" x14ac:dyDescent="0.25">
      <c r="A4" t="s">
        <v>65</v>
      </c>
    </row>
    <row r="5" spans="1:6" x14ac:dyDescent="0.25">
      <c r="B5" t="s">
        <v>91</v>
      </c>
    </row>
    <row r="6" spans="1:6" x14ac:dyDescent="0.25">
      <c r="C6" t="s">
        <v>66</v>
      </c>
      <c r="D6" s="7">
        <v>0</v>
      </c>
      <c r="E6" t="s">
        <v>70</v>
      </c>
      <c r="F6" t="s">
        <v>67</v>
      </c>
    </row>
    <row r="7" spans="1:6" x14ac:dyDescent="0.25">
      <c r="C7" t="s">
        <v>97</v>
      </c>
      <c r="D7" s="7">
        <v>0</v>
      </c>
      <c r="E7" t="s">
        <v>98</v>
      </c>
      <c r="F7" t="s">
        <v>99</v>
      </c>
    </row>
    <row r="8" spans="1:6" x14ac:dyDescent="0.25">
      <c r="C8" t="s">
        <v>100</v>
      </c>
      <c r="D8" s="7">
        <v>0</v>
      </c>
      <c r="E8" s="9">
        <v>1</v>
      </c>
      <c r="F8" t="s">
        <v>101</v>
      </c>
    </row>
    <row r="9" spans="1:6" x14ac:dyDescent="0.25">
      <c r="C9" t="s">
        <v>102</v>
      </c>
      <c r="D9" s="11">
        <v>0</v>
      </c>
      <c r="E9" t="s">
        <v>111</v>
      </c>
      <c r="F9" t="s">
        <v>112</v>
      </c>
    </row>
    <row r="10" spans="1:6" x14ac:dyDescent="0.25">
      <c r="C10" t="s">
        <v>105</v>
      </c>
      <c r="D10" s="10">
        <v>0</v>
      </c>
      <c r="E10" t="s">
        <v>71</v>
      </c>
      <c r="F10" t="s">
        <v>106</v>
      </c>
    </row>
    <row r="11" spans="1:6" x14ac:dyDescent="0.25">
      <c r="C11" t="s">
        <v>107</v>
      </c>
      <c r="D11" s="7">
        <v>0</v>
      </c>
      <c r="E11" t="s">
        <v>1</v>
      </c>
      <c r="F11" t="s">
        <v>108</v>
      </c>
    </row>
    <row r="12" spans="1:6" x14ac:dyDescent="0.25">
      <c r="C12" t="s">
        <v>109</v>
      </c>
      <c r="D12" s="10" t="s">
        <v>103</v>
      </c>
      <c r="E12" t="s">
        <v>104</v>
      </c>
      <c r="F12" t="s">
        <v>110</v>
      </c>
    </row>
    <row r="13" spans="1:6" x14ac:dyDescent="0.25">
      <c r="B13" t="s">
        <v>84</v>
      </c>
      <c r="D13" s="7">
        <f>I_Clock/80000</f>
        <v>25</v>
      </c>
      <c r="F13" t="s">
        <v>82</v>
      </c>
    </row>
    <row r="14" spans="1:6" x14ac:dyDescent="0.25">
      <c r="B14" t="s">
        <v>85</v>
      </c>
      <c r="D14" s="7">
        <v>0</v>
      </c>
    </row>
    <row r="15" spans="1:6" x14ac:dyDescent="0.25">
      <c r="A15" t="s">
        <v>72</v>
      </c>
      <c r="F15" t="s">
        <v>73</v>
      </c>
    </row>
    <row r="16" spans="1:6" x14ac:dyDescent="0.25">
      <c r="B16" t="s">
        <v>56</v>
      </c>
    </row>
    <row r="17" spans="1:6" x14ac:dyDescent="0.25">
      <c r="C17" t="s">
        <v>78</v>
      </c>
      <c r="F17" t="s">
        <v>71</v>
      </c>
    </row>
    <row r="18" spans="1:6" x14ac:dyDescent="0.25">
      <c r="C18" t="s">
        <v>77</v>
      </c>
      <c r="F18" t="s">
        <v>79</v>
      </c>
    </row>
    <row r="19" spans="1:6" x14ac:dyDescent="0.25">
      <c r="C19" t="s">
        <v>76</v>
      </c>
      <c r="D19" s="7">
        <v>2</v>
      </c>
      <c r="E19" t="s">
        <v>80</v>
      </c>
      <c r="F19" t="s">
        <v>81</v>
      </c>
    </row>
    <row r="20" spans="1:6" x14ac:dyDescent="0.25">
      <c r="B20" t="s">
        <v>16</v>
      </c>
      <c r="D20" s="7">
        <v>1</v>
      </c>
      <c r="F20" t="s">
        <v>74</v>
      </c>
    </row>
    <row r="21" spans="1:6" x14ac:dyDescent="0.25">
      <c r="B21" t="s">
        <v>55</v>
      </c>
      <c r="D21" s="7">
        <v>0</v>
      </c>
      <c r="F21" t="s">
        <v>75</v>
      </c>
    </row>
    <row r="22" spans="1:6" x14ac:dyDescent="0.25">
      <c r="A22" t="s">
        <v>83</v>
      </c>
    </row>
    <row r="23" spans="1:6" x14ac:dyDescent="0.25">
      <c r="B23" t="s">
        <v>86</v>
      </c>
      <c r="C23" t="s">
        <v>95</v>
      </c>
      <c r="D23" s="7">
        <v>0</v>
      </c>
      <c r="F23" t="s">
        <v>96</v>
      </c>
    </row>
    <row r="24" spans="1:6" x14ac:dyDescent="0.25">
      <c r="A24" t="s">
        <v>87</v>
      </c>
    </row>
    <row r="25" spans="1:6" x14ac:dyDescent="0.25">
      <c r="B25" t="s">
        <v>92</v>
      </c>
      <c r="D25" s="7">
        <v>1</v>
      </c>
      <c r="F25" t="s">
        <v>88</v>
      </c>
    </row>
    <row r="26" spans="1:6" x14ac:dyDescent="0.25">
      <c r="B26" t="s">
        <v>93</v>
      </c>
      <c r="D26" s="7">
        <v>1</v>
      </c>
      <c r="F26" t="s">
        <v>89</v>
      </c>
    </row>
    <row r="27" spans="1:6" x14ac:dyDescent="0.25">
      <c r="B27" t="s">
        <v>94</v>
      </c>
      <c r="D27" s="7">
        <v>0</v>
      </c>
      <c r="F27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53AE-5232-41BF-90E5-2CE339CEB3FE}">
  <dimension ref="A1:AL25"/>
  <sheetViews>
    <sheetView tabSelected="1" workbookViewId="0">
      <selection activeCell="B12" sqref="B12"/>
    </sheetView>
  </sheetViews>
  <sheetFormatPr defaultRowHeight="15" x14ac:dyDescent="0.25"/>
  <cols>
    <col min="1" max="1" width="13.140625" style="1" customWidth="1"/>
    <col min="2" max="2" width="12.140625" style="1" customWidth="1"/>
    <col min="3" max="3" width="9.140625" style="1" customWidth="1"/>
    <col min="4" max="4" width="9.140625" style="16"/>
    <col min="5" max="5" width="8.42578125" style="17" customWidth="1"/>
    <col min="6" max="6" width="12.28515625" style="1" customWidth="1"/>
    <col min="7" max="7" width="9.140625" style="1"/>
    <col min="8" max="8" width="2.42578125" style="1" customWidth="1"/>
    <col min="9" max="12" width="14.42578125" style="20" customWidth="1"/>
    <col min="13" max="13" width="3.140625" style="1" customWidth="1"/>
    <col min="14" max="14" width="9.140625" style="1"/>
    <col min="15" max="17" width="14.5703125" style="20" customWidth="1"/>
    <col min="18" max="20" width="10.5703125" style="1" customWidth="1"/>
    <col min="21" max="21" width="3.140625" style="1" customWidth="1"/>
    <col min="22" max="22" width="9.140625" style="1"/>
    <col min="23" max="30" width="11.140625" style="1" customWidth="1"/>
    <col min="31" max="31" width="12.140625" style="1" customWidth="1"/>
    <col min="32" max="16384" width="9.140625" style="1"/>
  </cols>
  <sheetData>
    <row r="1" spans="1:38" x14ac:dyDescent="0.25">
      <c r="D1" s="98" t="s">
        <v>291</v>
      </c>
      <c r="E1" s="98"/>
      <c r="F1" s="98"/>
      <c r="G1" s="98"/>
      <c r="I1" s="97" t="s">
        <v>296</v>
      </c>
      <c r="J1" s="97"/>
      <c r="K1" s="97"/>
      <c r="L1" s="97"/>
      <c r="N1" s="100" t="s">
        <v>366</v>
      </c>
      <c r="O1" s="100"/>
      <c r="P1" s="100"/>
      <c r="Q1" s="100"/>
      <c r="R1" s="100"/>
      <c r="S1" s="100"/>
      <c r="T1" s="100"/>
      <c r="V1" s="99" t="s">
        <v>303</v>
      </c>
      <c r="W1" s="99"/>
      <c r="X1" s="99"/>
      <c r="Y1" s="99"/>
      <c r="Z1" s="99"/>
      <c r="AA1" s="99"/>
      <c r="AB1" s="99"/>
      <c r="AC1" s="99"/>
      <c r="AD1" s="99"/>
      <c r="AE1" s="18"/>
    </row>
    <row r="2" spans="1:38" x14ac:dyDescent="0.25">
      <c r="A2" s="1" t="s">
        <v>0</v>
      </c>
      <c r="B2" s="52">
        <v>8000000</v>
      </c>
      <c r="C2" s="1" t="s">
        <v>403</v>
      </c>
      <c r="D2" s="98"/>
      <c r="E2" s="98"/>
      <c r="F2" s="98"/>
      <c r="G2" s="98"/>
      <c r="I2" s="97" t="s">
        <v>1</v>
      </c>
      <c r="J2" s="97"/>
      <c r="K2" s="97" t="s">
        <v>0</v>
      </c>
      <c r="L2" s="97"/>
      <c r="N2" s="21"/>
      <c r="O2" s="101" t="s">
        <v>301</v>
      </c>
      <c r="P2" s="101"/>
      <c r="Q2" s="101"/>
      <c r="R2" s="100" t="s">
        <v>302</v>
      </c>
      <c r="S2" s="100"/>
      <c r="T2" s="100"/>
      <c r="V2" s="34"/>
      <c r="W2" s="99" t="s">
        <v>304</v>
      </c>
      <c r="X2" s="99"/>
      <c r="Y2" s="99"/>
      <c r="Z2" s="99"/>
      <c r="AA2" s="99" t="s">
        <v>302</v>
      </c>
      <c r="AB2" s="99"/>
      <c r="AC2" s="99"/>
      <c r="AD2" s="99"/>
      <c r="AE2" s="2"/>
    </row>
    <row r="3" spans="1:38" x14ac:dyDescent="0.25">
      <c r="A3" s="1" t="s">
        <v>1</v>
      </c>
      <c r="B3" s="52">
        <f>B2/4</f>
        <v>2000000</v>
      </c>
      <c r="C3" s="1" t="s">
        <v>403</v>
      </c>
      <c r="D3" s="28" t="s">
        <v>293</v>
      </c>
      <c r="E3" s="28" t="s">
        <v>292</v>
      </c>
      <c r="F3" s="29" t="s">
        <v>1</v>
      </c>
      <c r="G3" s="29" t="s">
        <v>0</v>
      </c>
      <c r="I3" s="26" t="s">
        <v>294</v>
      </c>
      <c r="J3" s="26" t="s">
        <v>295</v>
      </c>
      <c r="K3" s="26" t="s">
        <v>294</v>
      </c>
      <c r="L3" s="26" t="s">
        <v>295</v>
      </c>
      <c r="N3" s="65" t="s">
        <v>5</v>
      </c>
      <c r="O3" s="22">
        <v>1</v>
      </c>
      <c r="P3" s="22">
        <v>4</v>
      </c>
      <c r="Q3" s="22">
        <v>16</v>
      </c>
      <c r="R3" s="22">
        <v>1</v>
      </c>
      <c r="S3" s="22">
        <v>4</v>
      </c>
      <c r="T3" s="22">
        <v>16</v>
      </c>
      <c r="V3" s="34" t="s">
        <v>300</v>
      </c>
      <c r="W3" s="35">
        <v>1</v>
      </c>
      <c r="X3" s="35">
        <v>2</v>
      </c>
      <c r="Y3" s="35">
        <v>4</v>
      </c>
      <c r="Z3" s="35">
        <v>8</v>
      </c>
      <c r="AA3" s="35">
        <v>1</v>
      </c>
      <c r="AB3" s="35">
        <v>2</v>
      </c>
      <c r="AC3" s="35">
        <v>4</v>
      </c>
      <c r="AD3" s="35">
        <v>8</v>
      </c>
      <c r="AE3" s="2"/>
    </row>
    <row r="4" spans="1:38" x14ac:dyDescent="0.25">
      <c r="A4" s="1" t="s">
        <v>3</v>
      </c>
      <c r="B4" s="52">
        <v>40000</v>
      </c>
      <c r="C4" s="1" t="s">
        <v>403</v>
      </c>
      <c r="D4" s="30">
        <v>0</v>
      </c>
      <c r="E4" s="31">
        <f>2^D4</f>
        <v>1</v>
      </c>
      <c r="F4" s="32">
        <f t="shared" ref="F4:F12" si="0">I_Clock/E4</f>
        <v>2000000</v>
      </c>
      <c r="G4" s="32">
        <f t="shared" ref="G4:G12" si="1">P_Clock/E4</f>
        <v>8000000</v>
      </c>
      <c r="I4" s="27">
        <f>2^8/F4</f>
        <v>1.2799999999999999E-4</v>
      </c>
      <c r="J4" s="27">
        <f>2^16/F4</f>
        <v>3.2767999999999999E-2</v>
      </c>
      <c r="K4" s="27">
        <f>2^8/G4</f>
        <v>3.1999999999999999E-5</v>
      </c>
      <c r="L4" s="27">
        <f>2^16/G4</f>
        <v>8.1919999999999996E-3</v>
      </c>
      <c r="N4" s="23">
        <v>49</v>
      </c>
      <c r="O4" s="69">
        <f t="shared" ref="O4:Q7" si="2">1/(I_Clock/O$3/($N4+1))</f>
        <v>2.5000000000000001E-5</v>
      </c>
      <c r="P4" s="69">
        <f t="shared" si="2"/>
        <v>1E-4</v>
      </c>
      <c r="Q4" s="69">
        <f t="shared" si="2"/>
        <v>4.0000000000000002E-4</v>
      </c>
      <c r="R4" s="25">
        <f t="shared" ref="R4:T7" si="3">(I_Clock/R$3/($N4+1))</f>
        <v>40000</v>
      </c>
      <c r="S4" s="25">
        <f t="shared" si="3"/>
        <v>10000</v>
      </c>
      <c r="T4" s="25">
        <f t="shared" si="3"/>
        <v>2500</v>
      </c>
      <c r="V4" s="36">
        <v>1</v>
      </c>
      <c r="W4" s="37">
        <f>1/AA4</f>
        <v>4.9999999999999998E-7</v>
      </c>
      <c r="X4" s="37">
        <f t="shared" ref="X4:Z4" si="4">1/AB4</f>
        <v>9.9999999999999995E-7</v>
      </c>
      <c r="Y4" s="37">
        <f t="shared" si="4"/>
        <v>1.9999999999999999E-6</v>
      </c>
      <c r="Z4" s="37">
        <f t="shared" si="4"/>
        <v>3.9999999999999998E-6</v>
      </c>
      <c r="AA4" s="37">
        <f t="shared" ref="AA4:AD7" si="5">I_Clock/W$3/$V4</f>
        <v>2000000</v>
      </c>
      <c r="AB4" s="37">
        <f t="shared" si="5"/>
        <v>1000000</v>
      </c>
      <c r="AC4" s="37">
        <f t="shared" si="5"/>
        <v>500000</v>
      </c>
      <c r="AD4" s="37">
        <f t="shared" si="5"/>
        <v>250000</v>
      </c>
    </row>
    <row r="5" spans="1:38" x14ac:dyDescent="0.25">
      <c r="A5" s="1" t="s">
        <v>452</v>
      </c>
      <c r="B5" s="52">
        <v>331.3</v>
      </c>
      <c r="C5" s="1" t="s">
        <v>453</v>
      </c>
      <c r="D5" s="30">
        <v>1</v>
      </c>
      <c r="E5" s="31">
        <f>2^D5</f>
        <v>2</v>
      </c>
      <c r="F5" s="32">
        <f t="shared" si="0"/>
        <v>1000000</v>
      </c>
      <c r="G5" s="32">
        <f t="shared" si="1"/>
        <v>4000000</v>
      </c>
      <c r="I5" s="27">
        <f t="shared" ref="I5:I12" si="6">2^8/F5</f>
        <v>2.5599999999999999E-4</v>
      </c>
      <c r="J5" s="27">
        <f t="shared" ref="J5:J12" si="7">2^16/F5</f>
        <v>6.5535999999999997E-2</v>
      </c>
      <c r="K5" s="27">
        <f t="shared" ref="K5:K12" si="8">2^8/G5</f>
        <v>6.3999999999999997E-5</v>
      </c>
      <c r="L5" s="27">
        <f t="shared" ref="L5:L12" si="9">2^16/G5</f>
        <v>1.6383999999999999E-2</v>
      </c>
      <c r="N5" s="23">
        <v>49</v>
      </c>
      <c r="O5" s="69">
        <f t="shared" si="2"/>
        <v>2.5000000000000001E-5</v>
      </c>
      <c r="P5" s="69">
        <f t="shared" si="2"/>
        <v>1E-4</v>
      </c>
      <c r="Q5" s="69">
        <f t="shared" si="2"/>
        <v>4.0000000000000002E-4</v>
      </c>
      <c r="R5" s="25">
        <f t="shared" si="3"/>
        <v>40000</v>
      </c>
      <c r="S5" s="25">
        <f t="shared" si="3"/>
        <v>10000</v>
      </c>
      <c r="T5" s="25">
        <f t="shared" si="3"/>
        <v>2500</v>
      </c>
      <c r="V5" s="36">
        <v>12500</v>
      </c>
      <c r="W5" s="37">
        <f t="shared" ref="W5:W7" si="10">1/AA5</f>
        <v>6.2500000000000003E-3</v>
      </c>
      <c r="X5" s="37">
        <f t="shared" ref="X5:X7" si="11">1/AB5</f>
        <v>1.2500000000000001E-2</v>
      </c>
      <c r="Y5" s="37">
        <f t="shared" ref="Y5:Y7" si="12">1/AC5</f>
        <v>2.5000000000000001E-2</v>
      </c>
      <c r="Z5" s="37">
        <f t="shared" ref="Z5:Z7" si="13">1/AD5</f>
        <v>0.05</v>
      </c>
      <c r="AA5" s="37">
        <f t="shared" si="5"/>
        <v>160</v>
      </c>
      <c r="AB5" s="37">
        <f t="shared" si="5"/>
        <v>80</v>
      </c>
      <c r="AC5" s="37">
        <f t="shared" si="5"/>
        <v>40</v>
      </c>
      <c r="AD5" s="37">
        <f t="shared" si="5"/>
        <v>20</v>
      </c>
    </row>
    <row r="6" spans="1:38" x14ac:dyDescent="0.25">
      <c r="A6" s="1" t="s">
        <v>392</v>
      </c>
      <c r="B6" s="1">
        <v>20</v>
      </c>
      <c r="C6" s="1" t="s">
        <v>389</v>
      </c>
      <c r="D6" s="30">
        <v>2</v>
      </c>
      <c r="E6" s="31">
        <f t="shared" ref="E6:E12" si="14">2^D6</f>
        <v>4</v>
      </c>
      <c r="F6" s="32">
        <f t="shared" si="0"/>
        <v>500000</v>
      </c>
      <c r="G6" s="32">
        <f t="shared" si="1"/>
        <v>2000000</v>
      </c>
      <c r="I6" s="27">
        <f t="shared" si="6"/>
        <v>5.1199999999999998E-4</v>
      </c>
      <c r="J6" s="27">
        <f t="shared" si="7"/>
        <v>0.13107199999999999</v>
      </c>
      <c r="K6" s="27">
        <f t="shared" si="8"/>
        <v>1.2799999999999999E-4</v>
      </c>
      <c r="L6" s="27">
        <f t="shared" si="9"/>
        <v>3.2767999999999999E-2</v>
      </c>
      <c r="N6" s="23">
        <v>3</v>
      </c>
      <c r="O6" s="69">
        <f t="shared" si="2"/>
        <v>1.9999999999999999E-6</v>
      </c>
      <c r="P6" s="69">
        <f t="shared" si="2"/>
        <v>7.9999999999999996E-6</v>
      </c>
      <c r="Q6" s="69">
        <f t="shared" si="2"/>
        <v>3.1999999999999999E-5</v>
      </c>
      <c r="R6" s="25">
        <f t="shared" si="3"/>
        <v>500000</v>
      </c>
      <c r="S6" s="25">
        <f t="shared" si="3"/>
        <v>125000</v>
      </c>
      <c r="T6" s="25">
        <f t="shared" si="3"/>
        <v>31250</v>
      </c>
      <c r="V6" s="36">
        <v>11</v>
      </c>
      <c r="W6" s="37">
        <f t="shared" si="10"/>
        <v>5.4999999999999999E-6</v>
      </c>
      <c r="X6" s="37">
        <f t="shared" si="11"/>
        <v>1.1E-5</v>
      </c>
      <c r="Y6" s="37">
        <f t="shared" si="12"/>
        <v>2.1999999999999999E-5</v>
      </c>
      <c r="Z6" s="37">
        <f t="shared" si="13"/>
        <v>4.3999999999999999E-5</v>
      </c>
      <c r="AA6" s="37">
        <f t="shared" si="5"/>
        <v>181818.18181818182</v>
      </c>
      <c r="AB6" s="37">
        <f t="shared" si="5"/>
        <v>90909.090909090912</v>
      </c>
      <c r="AC6" s="37">
        <f t="shared" si="5"/>
        <v>45454.545454545456</v>
      </c>
      <c r="AD6" s="37">
        <f t="shared" si="5"/>
        <v>22727.272727272728</v>
      </c>
    </row>
    <row r="7" spans="1:38" x14ac:dyDescent="0.25">
      <c r="A7" s="1" t="s">
        <v>393</v>
      </c>
      <c r="B7" s="52">
        <f>SOS_at_0*SQRT(1+(B6/Abs_Zero_K))</f>
        <v>343.21462268256795</v>
      </c>
      <c r="C7" s="1" t="s">
        <v>345</v>
      </c>
      <c r="D7" s="30">
        <v>3</v>
      </c>
      <c r="E7" s="31">
        <f t="shared" si="14"/>
        <v>8</v>
      </c>
      <c r="F7" s="32">
        <f t="shared" si="0"/>
        <v>250000</v>
      </c>
      <c r="G7" s="32">
        <f t="shared" si="1"/>
        <v>1000000</v>
      </c>
      <c r="I7" s="27">
        <f t="shared" si="6"/>
        <v>1.024E-3</v>
      </c>
      <c r="J7" s="27">
        <f t="shared" si="7"/>
        <v>0.26214399999999999</v>
      </c>
      <c r="K7" s="27">
        <f t="shared" si="8"/>
        <v>2.5599999999999999E-4</v>
      </c>
      <c r="L7" s="27">
        <f t="shared" si="9"/>
        <v>6.5535999999999997E-2</v>
      </c>
      <c r="N7" s="23">
        <v>256</v>
      </c>
      <c r="O7" s="69">
        <f t="shared" si="2"/>
        <v>1.2850000000000001E-4</v>
      </c>
      <c r="P7" s="69">
        <f t="shared" si="2"/>
        <v>5.1400000000000003E-4</v>
      </c>
      <c r="Q7" s="69">
        <f t="shared" si="2"/>
        <v>2.0560000000000001E-3</v>
      </c>
      <c r="R7" s="25">
        <f t="shared" si="3"/>
        <v>7782.1011673151752</v>
      </c>
      <c r="S7" s="25">
        <f t="shared" si="3"/>
        <v>1945.5252918287938</v>
      </c>
      <c r="T7" s="25">
        <f t="shared" si="3"/>
        <v>486.38132295719845</v>
      </c>
      <c r="V7" s="36">
        <v>500</v>
      </c>
      <c r="W7" s="37">
        <f t="shared" si="10"/>
        <v>2.5000000000000001E-4</v>
      </c>
      <c r="X7" s="37">
        <f t="shared" si="11"/>
        <v>5.0000000000000001E-4</v>
      </c>
      <c r="Y7" s="37">
        <f t="shared" si="12"/>
        <v>1E-3</v>
      </c>
      <c r="Z7" s="37">
        <f t="shared" si="13"/>
        <v>2E-3</v>
      </c>
      <c r="AA7" s="37">
        <f t="shared" si="5"/>
        <v>4000</v>
      </c>
      <c r="AB7" s="37">
        <f t="shared" si="5"/>
        <v>2000</v>
      </c>
      <c r="AC7" s="37">
        <f t="shared" si="5"/>
        <v>1000</v>
      </c>
      <c r="AD7" s="37">
        <f t="shared" si="5"/>
        <v>500</v>
      </c>
    </row>
    <row r="8" spans="1:38" x14ac:dyDescent="0.25">
      <c r="B8" s="52">
        <f>B7*1000</f>
        <v>343214.62268256798</v>
      </c>
      <c r="C8" s="1" t="s">
        <v>346</v>
      </c>
      <c r="D8" s="30">
        <v>4</v>
      </c>
      <c r="E8" s="31">
        <f t="shared" si="14"/>
        <v>16</v>
      </c>
      <c r="F8" s="32">
        <f t="shared" si="0"/>
        <v>125000</v>
      </c>
      <c r="G8" s="32">
        <f t="shared" si="1"/>
        <v>500000</v>
      </c>
      <c r="I8" s="27">
        <f t="shared" si="6"/>
        <v>2.0479999999999999E-3</v>
      </c>
      <c r="J8" s="27">
        <f t="shared" si="7"/>
        <v>0.52428799999999998</v>
      </c>
      <c r="K8" s="27">
        <f t="shared" si="8"/>
        <v>5.1199999999999998E-4</v>
      </c>
      <c r="L8" s="27">
        <f t="shared" si="9"/>
        <v>0.13107199999999999</v>
      </c>
      <c r="N8" s="66"/>
      <c r="O8" s="67"/>
      <c r="P8" s="67"/>
      <c r="Q8" s="67"/>
      <c r="R8" s="68"/>
      <c r="S8" s="68"/>
      <c r="T8" s="68"/>
      <c r="W8" s="1" t="s">
        <v>359</v>
      </c>
      <c r="X8" s="60" t="s">
        <v>372</v>
      </c>
      <c r="Y8" s="17">
        <f>HEX2DEC(X8)</f>
        <v>57723</v>
      </c>
      <c r="Z8" s="1" t="s">
        <v>360</v>
      </c>
      <c r="AA8" s="17">
        <f>2^16-Y8</f>
        <v>7813</v>
      </c>
    </row>
    <row r="9" spans="1:38" x14ac:dyDescent="0.25">
      <c r="A9" s="1" t="s">
        <v>391</v>
      </c>
      <c r="B9" s="1">
        <v>273.14999999999998</v>
      </c>
      <c r="C9" s="1" t="s">
        <v>390</v>
      </c>
      <c r="D9" s="30">
        <v>5</v>
      </c>
      <c r="E9" s="31">
        <f t="shared" si="14"/>
        <v>32</v>
      </c>
      <c r="F9" s="32">
        <f t="shared" si="0"/>
        <v>62500</v>
      </c>
      <c r="G9" s="32">
        <f t="shared" si="1"/>
        <v>250000</v>
      </c>
      <c r="I9" s="27">
        <f t="shared" si="6"/>
        <v>4.0959999999999998E-3</v>
      </c>
      <c r="J9" s="27">
        <f t="shared" si="7"/>
        <v>1.048576</v>
      </c>
      <c r="K9" s="27">
        <f t="shared" si="8"/>
        <v>1.024E-3</v>
      </c>
      <c r="L9" s="27">
        <f t="shared" si="9"/>
        <v>0.26214399999999999</v>
      </c>
      <c r="N9" s="102" t="s">
        <v>364</v>
      </c>
      <c r="O9" s="102"/>
      <c r="P9" s="102"/>
      <c r="Q9" s="102"/>
      <c r="R9" s="102"/>
      <c r="S9" s="102"/>
      <c r="T9" s="102"/>
      <c r="W9" s="1" t="s">
        <v>358</v>
      </c>
      <c r="X9" s="61">
        <v>100</v>
      </c>
      <c r="Y9" s="59" t="str">
        <f>DEC2HEX(X9)</f>
        <v>64</v>
      </c>
    </row>
    <row r="10" spans="1:38" x14ac:dyDescent="0.25">
      <c r="A10" s="1" t="s">
        <v>394</v>
      </c>
      <c r="B10" s="52">
        <v>48</v>
      </c>
      <c r="C10" s="1" t="s">
        <v>395</v>
      </c>
      <c r="D10" s="30">
        <v>6</v>
      </c>
      <c r="E10" s="31">
        <f t="shared" si="14"/>
        <v>64</v>
      </c>
      <c r="F10" s="32">
        <f t="shared" si="0"/>
        <v>31250</v>
      </c>
      <c r="G10" s="32">
        <f t="shared" si="1"/>
        <v>125000</v>
      </c>
      <c r="I10" s="27">
        <f t="shared" si="6"/>
        <v>8.1919999999999996E-3</v>
      </c>
      <c r="J10" s="27">
        <f t="shared" si="7"/>
        <v>2.0971519999999999</v>
      </c>
      <c r="K10" s="27">
        <f t="shared" si="8"/>
        <v>2.0479999999999999E-3</v>
      </c>
      <c r="L10" s="27">
        <f t="shared" si="9"/>
        <v>0.52428799999999998</v>
      </c>
      <c r="N10" s="71" t="s">
        <v>300</v>
      </c>
      <c r="O10" s="101" t="s">
        <v>301</v>
      </c>
      <c r="P10" s="101"/>
      <c r="Q10" s="101"/>
      <c r="R10" s="100" t="s">
        <v>302</v>
      </c>
      <c r="S10" s="100"/>
      <c r="T10" s="100"/>
      <c r="V10" s="100" t="s">
        <v>368</v>
      </c>
      <c r="W10" s="100"/>
      <c r="X10" s="100"/>
      <c r="Y10" s="100"/>
      <c r="Z10" s="100"/>
      <c r="AA10" s="100"/>
      <c r="AB10" s="100"/>
      <c r="AC10" s="100"/>
      <c r="AD10" s="100"/>
      <c r="AE10" s="105" t="s">
        <v>371</v>
      </c>
      <c r="AF10" s="105"/>
      <c r="AG10" s="19"/>
      <c r="AH10" s="19"/>
      <c r="AI10" s="19"/>
      <c r="AJ10" s="19"/>
      <c r="AK10" s="19"/>
      <c r="AL10" s="19"/>
    </row>
    <row r="11" spans="1:38" x14ac:dyDescent="0.25">
      <c r="A11" s="1" t="s">
        <v>405</v>
      </c>
      <c r="B11" s="1">
        <v>72</v>
      </c>
      <c r="C11" s="1" t="s">
        <v>395</v>
      </c>
      <c r="D11" s="30">
        <v>7</v>
      </c>
      <c r="E11" s="31">
        <f t="shared" si="14"/>
        <v>128</v>
      </c>
      <c r="F11" s="32">
        <f t="shared" si="0"/>
        <v>15625</v>
      </c>
      <c r="G11" s="32">
        <f t="shared" si="1"/>
        <v>62500</v>
      </c>
      <c r="I11" s="27">
        <f t="shared" si="6"/>
        <v>1.6383999999999999E-2</v>
      </c>
      <c r="J11" s="27">
        <f t="shared" si="7"/>
        <v>4.1943039999999998</v>
      </c>
      <c r="K11" s="27">
        <f t="shared" si="8"/>
        <v>4.0959999999999998E-3</v>
      </c>
      <c r="L11" s="27">
        <f t="shared" si="9"/>
        <v>1.048576</v>
      </c>
      <c r="N11" s="71" t="s">
        <v>365</v>
      </c>
      <c r="O11" s="70">
        <v>1</v>
      </c>
      <c r="P11" s="70">
        <v>4</v>
      </c>
      <c r="Q11" s="70">
        <v>16</v>
      </c>
      <c r="R11" s="70">
        <v>1</v>
      </c>
      <c r="S11" s="70">
        <v>4</v>
      </c>
      <c r="T11" s="70">
        <v>16</v>
      </c>
      <c r="V11" s="38" t="s">
        <v>299</v>
      </c>
      <c r="W11" s="22">
        <v>0</v>
      </c>
      <c r="X11" s="22">
        <v>1</v>
      </c>
      <c r="Y11" s="22">
        <v>2</v>
      </c>
      <c r="Z11" s="22">
        <v>3</v>
      </c>
      <c r="AA11" s="22">
        <v>4</v>
      </c>
      <c r="AB11" s="22">
        <v>5</v>
      </c>
      <c r="AC11" s="22">
        <v>6</v>
      </c>
      <c r="AD11" s="22">
        <v>7</v>
      </c>
      <c r="AE11" s="105"/>
      <c r="AF11" s="105"/>
      <c r="AG11" s="16"/>
      <c r="AH11" s="16"/>
      <c r="AI11" s="16"/>
      <c r="AJ11" s="16"/>
      <c r="AK11" s="16"/>
      <c r="AL11" s="16"/>
    </row>
    <row r="12" spans="1:38" x14ac:dyDescent="0.25">
      <c r="A12" s="1" t="s">
        <v>402</v>
      </c>
      <c r="B12" s="64">
        <v>2.6417205199999999E-7</v>
      </c>
      <c r="C12" s="43" t="s">
        <v>404</v>
      </c>
      <c r="D12" s="30">
        <v>8</v>
      </c>
      <c r="E12" s="31">
        <f t="shared" si="14"/>
        <v>256</v>
      </c>
      <c r="F12" s="32">
        <f t="shared" si="0"/>
        <v>7812.5</v>
      </c>
      <c r="G12" s="32">
        <f t="shared" si="1"/>
        <v>31250</v>
      </c>
      <c r="I12" s="27">
        <f t="shared" si="6"/>
        <v>3.2767999999999999E-2</v>
      </c>
      <c r="J12" s="27">
        <f t="shared" si="7"/>
        <v>8.3886079999999996</v>
      </c>
      <c r="K12" s="27">
        <f t="shared" si="8"/>
        <v>8.1919999999999996E-3</v>
      </c>
      <c r="L12" s="27">
        <f t="shared" si="9"/>
        <v>2.0971519999999999</v>
      </c>
      <c r="N12" s="23">
        <v>0</v>
      </c>
      <c r="O12" s="24">
        <f>O4*($N12+1)</f>
        <v>2.5000000000000001E-5</v>
      </c>
      <c r="P12" s="24">
        <f t="shared" ref="P12:Q15" si="15">P4*O12</f>
        <v>2.5000000000000001E-9</v>
      </c>
      <c r="Q12" s="24">
        <f t="shared" si="15"/>
        <v>9.9999999999999998E-13</v>
      </c>
      <c r="R12" s="25">
        <f t="shared" ref="R12:T15" si="16">R4/($N12+1)</f>
        <v>40000</v>
      </c>
      <c r="S12" s="25">
        <f t="shared" si="16"/>
        <v>10000</v>
      </c>
      <c r="T12" s="25">
        <f t="shared" si="16"/>
        <v>2500</v>
      </c>
      <c r="V12" s="38" t="s">
        <v>300</v>
      </c>
      <c r="W12" s="22">
        <f>2^(W11+1)</f>
        <v>2</v>
      </c>
      <c r="X12" s="22">
        <f t="shared" ref="X12:AD12" si="17">2^(X11+1)</f>
        <v>4</v>
      </c>
      <c r="Y12" s="22">
        <f t="shared" si="17"/>
        <v>8</v>
      </c>
      <c r="Z12" s="22">
        <f t="shared" si="17"/>
        <v>16</v>
      </c>
      <c r="AA12" s="22">
        <f t="shared" si="17"/>
        <v>32</v>
      </c>
      <c r="AB12" s="22">
        <f t="shared" si="17"/>
        <v>64</v>
      </c>
      <c r="AC12" s="22">
        <f t="shared" si="17"/>
        <v>128</v>
      </c>
      <c r="AD12" s="22">
        <f t="shared" si="17"/>
        <v>256</v>
      </c>
      <c r="AE12" s="76" t="s">
        <v>369</v>
      </c>
      <c r="AF12" s="65" t="s">
        <v>370</v>
      </c>
      <c r="AG12" s="8"/>
      <c r="AH12" s="8"/>
      <c r="AI12" s="8"/>
      <c r="AJ12" s="8"/>
      <c r="AK12" s="8"/>
      <c r="AL12" s="8"/>
    </row>
    <row r="13" spans="1:38" x14ac:dyDescent="0.25">
      <c r="A13" s="19"/>
      <c r="B13" s="19"/>
      <c r="C13" s="19"/>
      <c r="N13" s="23">
        <v>10</v>
      </c>
      <c r="O13" s="24">
        <f>O5*N13</f>
        <v>2.5000000000000001E-4</v>
      </c>
      <c r="P13" s="24">
        <f t="shared" si="15"/>
        <v>2.5000000000000002E-8</v>
      </c>
      <c r="Q13" s="24">
        <f t="shared" si="15"/>
        <v>1.0000000000000001E-11</v>
      </c>
      <c r="R13" s="25">
        <f t="shared" si="16"/>
        <v>3636.3636363636365</v>
      </c>
      <c r="S13" s="25">
        <f t="shared" si="16"/>
        <v>909.09090909090912</v>
      </c>
      <c r="T13" s="25">
        <f t="shared" si="16"/>
        <v>227.27272727272728</v>
      </c>
      <c r="V13" s="23">
        <v>7800</v>
      </c>
      <c r="W13" s="69">
        <f t="shared" ref="W13:AD19" si="18">I_Clock/W$12/($V13+2)</f>
        <v>128.17226352217381</v>
      </c>
      <c r="X13" s="69">
        <f t="shared" si="18"/>
        <v>64.086131761086904</v>
      </c>
      <c r="Y13" s="69">
        <f t="shared" si="18"/>
        <v>32.043065880543452</v>
      </c>
      <c r="Z13" s="69">
        <f t="shared" si="18"/>
        <v>16.021532940271726</v>
      </c>
      <c r="AA13" s="69">
        <f t="shared" si="18"/>
        <v>8.010766470135863</v>
      </c>
      <c r="AB13" s="69">
        <f t="shared" si="18"/>
        <v>4.0053832350679315</v>
      </c>
      <c r="AC13" s="69">
        <f t="shared" si="18"/>
        <v>2.0026916175339657</v>
      </c>
      <c r="AD13" s="69">
        <f t="shared" si="18"/>
        <v>1.0013458087669829</v>
      </c>
      <c r="AE13" s="74">
        <f t="shared" ref="AE13:AE19" si="19">2^16-V13</f>
        <v>57736</v>
      </c>
      <c r="AF13" s="75" t="str">
        <f t="shared" ref="AF13:AF19" si="20">DEC2HEX(AE13)</f>
        <v>E188</v>
      </c>
    </row>
    <row r="14" spans="1:38" x14ac:dyDescent="0.25">
      <c r="A14" s="103" t="s">
        <v>411</v>
      </c>
      <c r="B14" s="103"/>
      <c r="I14" s="33"/>
      <c r="J14" s="33"/>
      <c r="K14" s="33"/>
      <c r="L14" s="33"/>
      <c r="N14" s="23">
        <v>12</v>
      </c>
      <c r="O14" s="24">
        <f>O6*N14</f>
        <v>2.4000000000000001E-5</v>
      </c>
      <c r="P14" s="24">
        <f t="shared" si="15"/>
        <v>1.9200000000000001E-10</v>
      </c>
      <c r="Q14" s="24">
        <f t="shared" si="15"/>
        <v>6.1439999999999997E-15</v>
      </c>
      <c r="R14" s="25">
        <f t="shared" si="16"/>
        <v>38461.538461538461</v>
      </c>
      <c r="S14" s="25">
        <f t="shared" si="16"/>
        <v>9615.3846153846152</v>
      </c>
      <c r="T14" s="25">
        <f t="shared" si="16"/>
        <v>2403.8461538461538</v>
      </c>
      <c r="V14" s="23">
        <v>7810</v>
      </c>
      <c r="W14" s="69">
        <f t="shared" si="18"/>
        <v>128.00819252432154</v>
      </c>
      <c r="X14" s="69">
        <f t="shared" si="18"/>
        <v>64.004096262160772</v>
      </c>
      <c r="Y14" s="69">
        <f t="shared" si="18"/>
        <v>32.002048131080386</v>
      </c>
      <c r="Z14" s="69">
        <f t="shared" si="18"/>
        <v>16.001024065540193</v>
      </c>
      <c r="AA14" s="69">
        <f t="shared" si="18"/>
        <v>8.0005120327700965</v>
      </c>
      <c r="AB14" s="69">
        <f t="shared" si="18"/>
        <v>4.0002560163850482</v>
      </c>
      <c r="AC14" s="69">
        <f t="shared" si="18"/>
        <v>2.0001280081925241</v>
      </c>
      <c r="AD14" s="69">
        <f t="shared" si="18"/>
        <v>1.0000640040962621</v>
      </c>
      <c r="AE14" s="74">
        <f t="shared" si="19"/>
        <v>57726</v>
      </c>
      <c r="AF14" s="75" t="str">
        <f t="shared" si="20"/>
        <v>E17E</v>
      </c>
    </row>
    <row r="15" spans="1:38" x14ac:dyDescent="0.25">
      <c r="A15" s="1" t="s">
        <v>412</v>
      </c>
      <c r="B15" s="72">
        <f>1/I_Clock</f>
        <v>4.9999999999999998E-7</v>
      </c>
      <c r="C15" s="81" t="s">
        <v>413</v>
      </c>
      <c r="N15" s="23">
        <v>15</v>
      </c>
      <c r="O15" s="24">
        <f>O7*N15</f>
        <v>1.9275000000000002E-3</v>
      </c>
      <c r="P15" s="24">
        <f t="shared" si="15"/>
        <v>9.9073500000000022E-7</v>
      </c>
      <c r="Q15" s="24">
        <f t="shared" si="15"/>
        <v>2.0369511600000007E-9</v>
      </c>
      <c r="R15" s="25">
        <f t="shared" si="16"/>
        <v>486.38132295719845</v>
      </c>
      <c r="S15" s="25">
        <f t="shared" si="16"/>
        <v>121.59533073929961</v>
      </c>
      <c r="T15" s="25">
        <f t="shared" si="16"/>
        <v>30.398832684824903</v>
      </c>
      <c r="V15" s="23">
        <v>62498</v>
      </c>
      <c r="W15" s="69">
        <f t="shared" si="18"/>
        <v>16</v>
      </c>
      <c r="X15" s="69">
        <f t="shared" si="18"/>
        <v>8</v>
      </c>
      <c r="Y15" s="69">
        <f t="shared" si="18"/>
        <v>4</v>
      </c>
      <c r="Z15" s="69">
        <f t="shared" si="18"/>
        <v>2</v>
      </c>
      <c r="AA15" s="69">
        <f t="shared" si="18"/>
        <v>1</v>
      </c>
      <c r="AB15" s="69">
        <f t="shared" si="18"/>
        <v>0.5</v>
      </c>
      <c r="AC15" s="69">
        <f t="shared" si="18"/>
        <v>0.25</v>
      </c>
      <c r="AD15" s="69">
        <f t="shared" si="18"/>
        <v>0.125</v>
      </c>
      <c r="AE15" s="74">
        <f t="shared" si="19"/>
        <v>3038</v>
      </c>
      <c r="AF15" s="75" t="str">
        <f t="shared" si="20"/>
        <v>BDE</v>
      </c>
    </row>
    <row r="16" spans="1:38" x14ac:dyDescent="0.25">
      <c r="B16" s="72"/>
      <c r="N16" s="66"/>
      <c r="O16" s="67"/>
      <c r="P16" s="67"/>
      <c r="Q16" s="67"/>
      <c r="R16" s="68"/>
      <c r="S16" s="68"/>
      <c r="T16" s="68"/>
      <c r="V16" s="23">
        <v>1000</v>
      </c>
      <c r="W16" s="69">
        <f t="shared" si="18"/>
        <v>998.00399201596804</v>
      </c>
      <c r="X16" s="69">
        <f t="shared" si="18"/>
        <v>499.00199600798402</v>
      </c>
      <c r="Y16" s="69">
        <f t="shared" si="18"/>
        <v>249.50099800399201</v>
      </c>
      <c r="Z16" s="69">
        <f t="shared" si="18"/>
        <v>124.750499001996</v>
      </c>
      <c r="AA16" s="69">
        <f t="shared" si="18"/>
        <v>62.375249500998002</v>
      </c>
      <c r="AB16" s="69">
        <f t="shared" si="18"/>
        <v>31.187624750499001</v>
      </c>
      <c r="AC16" s="69">
        <f t="shared" si="18"/>
        <v>15.593812375249501</v>
      </c>
      <c r="AD16" s="69">
        <f t="shared" si="18"/>
        <v>7.7969061876247503</v>
      </c>
      <c r="AE16" s="74">
        <f t="shared" si="19"/>
        <v>64536</v>
      </c>
      <c r="AF16" s="75" t="str">
        <f t="shared" si="20"/>
        <v>FC18</v>
      </c>
    </row>
    <row r="17" spans="2:32" x14ac:dyDescent="0.25">
      <c r="B17" s="72"/>
      <c r="N17" s="104" t="s">
        <v>367</v>
      </c>
      <c r="O17" s="104"/>
      <c r="P17" s="104"/>
      <c r="Q17" s="104"/>
      <c r="R17" s="104"/>
      <c r="S17" s="104"/>
      <c r="T17" s="104"/>
      <c r="V17" s="23">
        <v>2000</v>
      </c>
      <c r="W17" s="69">
        <f t="shared" si="18"/>
        <v>499.50049950049947</v>
      </c>
      <c r="X17" s="69">
        <f t="shared" si="18"/>
        <v>249.75024975024974</v>
      </c>
      <c r="Y17" s="69">
        <f t="shared" si="18"/>
        <v>124.87512487512487</v>
      </c>
      <c r="Z17" s="69">
        <f t="shared" si="18"/>
        <v>62.437562437562434</v>
      </c>
      <c r="AA17" s="69">
        <f t="shared" si="18"/>
        <v>31.218781218781217</v>
      </c>
      <c r="AB17" s="69">
        <f t="shared" si="18"/>
        <v>15.609390609390609</v>
      </c>
      <c r="AC17" s="69">
        <f t="shared" si="18"/>
        <v>7.8046953046953043</v>
      </c>
      <c r="AD17" s="69">
        <f t="shared" si="18"/>
        <v>3.9023476523476521</v>
      </c>
      <c r="AE17" s="74">
        <f t="shared" si="19"/>
        <v>63536</v>
      </c>
      <c r="AF17" s="75" t="str">
        <f t="shared" si="20"/>
        <v>F830</v>
      </c>
    </row>
    <row r="18" spans="2:32" x14ac:dyDescent="0.25">
      <c r="B18" s="72"/>
      <c r="C18" s="43"/>
      <c r="N18" s="104"/>
      <c r="O18" s="104"/>
      <c r="P18" s="104"/>
      <c r="Q18" s="104"/>
      <c r="R18" s="104"/>
      <c r="S18" s="104"/>
      <c r="T18" s="104"/>
      <c r="V18" s="23">
        <f>2^8</f>
        <v>256</v>
      </c>
      <c r="W18" s="69">
        <f t="shared" si="18"/>
        <v>3875.968992248062</v>
      </c>
      <c r="X18" s="69">
        <f t="shared" si="18"/>
        <v>1937.984496124031</v>
      </c>
      <c r="Y18" s="69">
        <f t="shared" si="18"/>
        <v>968.99224806201551</v>
      </c>
      <c r="Z18" s="69">
        <f t="shared" si="18"/>
        <v>484.49612403100775</v>
      </c>
      <c r="AA18" s="69">
        <f t="shared" si="18"/>
        <v>242.24806201550388</v>
      </c>
      <c r="AB18" s="69">
        <f t="shared" si="18"/>
        <v>121.12403100775194</v>
      </c>
      <c r="AC18" s="69">
        <f t="shared" si="18"/>
        <v>60.562015503875969</v>
      </c>
      <c r="AD18" s="69">
        <f t="shared" si="18"/>
        <v>30.281007751937985</v>
      </c>
      <c r="AE18" s="74">
        <f t="shared" si="19"/>
        <v>65280</v>
      </c>
      <c r="AF18" s="75" t="str">
        <f t="shared" si="20"/>
        <v>FF00</v>
      </c>
    </row>
    <row r="19" spans="2:32" x14ac:dyDescent="0.25">
      <c r="B19" s="72"/>
      <c r="N19" s="104"/>
      <c r="O19" s="104"/>
      <c r="P19" s="104"/>
      <c r="Q19" s="104"/>
      <c r="R19" s="104"/>
      <c r="S19" s="104"/>
      <c r="T19" s="104"/>
      <c r="V19" s="23">
        <f>2^16</f>
        <v>65536</v>
      </c>
      <c r="W19" s="69">
        <f t="shared" si="18"/>
        <v>15.258323415423114</v>
      </c>
      <c r="X19" s="69">
        <f t="shared" si="18"/>
        <v>7.6291617077115568</v>
      </c>
      <c r="Y19" s="69">
        <f t="shared" si="18"/>
        <v>3.8145808538557784</v>
      </c>
      <c r="Z19" s="69">
        <f t="shared" si="18"/>
        <v>1.9072904269278892</v>
      </c>
      <c r="AA19" s="69">
        <f t="shared" si="18"/>
        <v>0.9536452134639446</v>
      </c>
      <c r="AB19" s="69">
        <f t="shared" si="18"/>
        <v>0.4768226067319723</v>
      </c>
      <c r="AC19" s="69">
        <f t="shared" si="18"/>
        <v>0.23841130336598615</v>
      </c>
      <c r="AD19" s="69">
        <f t="shared" si="18"/>
        <v>0.11920565168299307</v>
      </c>
      <c r="AE19" s="74">
        <f t="shared" si="19"/>
        <v>0</v>
      </c>
      <c r="AF19" s="75" t="str">
        <f t="shared" si="20"/>
        <v>0</v>
      </c>
    </row>
    <row r="20" spans="2:32" x14ac:dyDescent="0.25">
      <c r="B20" s="72"/>
      <c r="N20" s="104"/>
      <c r="O20" s="104"/>
      <c r="P20" s="104"/>
      <c r="Q20" s="104"/>
      <c r="R20" s="104"/>
      <c r="S20" s="104"/>
      <c r="T20" s="104"/>
      <c r="V20" s="108"/>
      <c r="W20" s="108"/>
      <c r="X20" s="108"/>
      <c r="Y20" s="108"/>
      <c r="Z20" s="108"/>
      <c r="AA20" s="108"/>
      <c r="AB20" s="108"/>
      <c r="AC20" s="107" t="s">
        <v>377</v>
      </c>
      <c r="AD20" s="107"/>
      <c r="AE20" s="107" t="s">
        <v>378</v>
      </c>
      <c r="AF20" s="107"/>
    </row>
    <row r="21" spans="2:32" x14ac:dyDescent="0.25">
      <c r="B21" s="72"/>
      <c r="N21" s="104"/>
      <c r="O21" s="104"/>
      <c r="P21" s="104"/>
      <c r="Q21" s="104"/>
      <c r="R21" s="104"/>
      <c r="S21" s="104"/>
      <c r="T21" s="104"/>
      <c r="V21" s="77" t="s">
        <v>374</v>
      </c>
      <c r="W21" s="106" t="s">
        <v>376</v>
      </c>
      <c r="X21" s="106"/>
      <c r="Y21" s="39">
        <v>1</v>
      </c>
      <c r="Z21" s="78" t="s">
        <v>375</v>
      </c>
      <c r="AA21" s="79">
        <v>4</v>
      </c>
      <c r="AB21" s="77" t="s">
        <v>373</v>
      </c>
      <c r="AC21" s="80">
        <f>Y21*(I_Clock/(2^(AA21+1)))</f>
        <v>62500</v>
      </c>
      <c r="AD21" s="73" t="str">
        <f>DEC2HEX(2^16-AC21)</f>
        <v>BDC</v>
      </c>
      <c r="AE21" s="80">
        <f>AC21-2</f>
        <v>62498</v>
      </c>
      <c r="AF21" s="73" t="str">
        <f>DEC2HEX(2^16-AE21)</f>
        <v>BDE</v>
      </c>
    </row>
    <row r="22" spans="2:32" x14ac:dyDescent="0.25">
      <c r="B22" s="72"/>
      <c r="N22" s="104"/>
      <c r="O22" s="104"/>
      <c r="P22" s="104"/>
      <c r="Q22" s="104"/>
      <c r="R22" s="104"/>
      <c r="S22" s="104"/>
      <c r="T22" s="104"/>
      <c r="V22" s="109" t="s">
        <v>379</v>
      </c>
      <c r="W22" s="110"/>
      <c r="X22" s="110"/>
      <c r="Y22" s="110"/>
      <c r="Z22" s="110"/>
      <c r="AA22" s="110"/>
      <c r="AB22" s="110"/>
      <c r="AC22" s="110"/>
      <c r="AD22" s="110"/>
      <c r="AE22" s="110"/>
      <c r="AF22" s="111"/>
    </row>
    <row r="23" spans="2:32" x14ac:dyDescent="0.25">
      <c r="B23" s="72"/>
    </row>
    <row r="24" spans="2:32" x14ac:dyDescent="0.25">
      <c r="B24" s="72"/>
    </row>
    <row r="25" spans="2:32" x14ac:dyDescent="0.25">
      <c r="B25" s="72"/>
    </row>
  </sheetData>
  <mergeCells count="22">
    <mergeCell ref="A14:B14"/>
    <mergeCell ref="N17:T22"/>
    <mergeCell ref="AE10:AF11"/>
    <mergeCell ref="W21:X21"/>
    <mergeCell ref="AC20:AD20"/>
    <mergeCell ref="AE20:AF20"/>
    <mergeCell ref="V20:AB20"/>
    <mergeCell ref="V22:AF22"/>
    <mergeCell ref="AA2:AD2"/>
    <mergeCell ref="V1:AD1"/>
    <mergeCell ref="V10:AD10"/>
    <mergeCell ref="O2:Q2"/>
    <mergeCell ref="R2:T2"/>
    <mergeCell ref="N1:T1"/>
    <mergeCell ref="N9:T9"/>
    <mergeCell ref="O10:Q10"/>
    <mergeCell ref="R10:T10"/>
    <mergeCell ref="I1:L1"/>
    <mergeCell ref="I2:J2"/>
    <mergeCell ref="K2:L2"/>
    <mergeCell ref="D1:G2"/>
    <mergeCell ref="W2:Z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6D80-8ED8-4615-A35C-85A48058AB9F}">
  <dimension ref="A1:U13"/>
  <sheetViews>
    <sheetView workbookViewId="0">
      <selection activeCell="N4" sqref="N4"/>
    </sheetView>
  </sheetViews>
  <sheetFormatPr defaultRowHeight="15" x14ac:dyDescent="0.25"/>
  <cols>
    <col min="1" max="1" width="9.140625" style="9"/>
    <col min="2" max="2" width="13.140625" style="41" customWidth="1"/>
    <col min="4" max="4" width="9.140625" style="40"/>
    <col min="5" max="5" width="9.140625" style="9"/>
    <col min="8" max="8" width="2.85546875" customWidth="1"/>
    <col min="10" max="10" width="10" style="9" bestFit="1" customWidth="1"/>
    <col min="11" max="11" width="9.140625" style="41"/>
    <col min="12" max="12" width="10.28515625" style="40" customWidth="1"/>
    <col min="13" max="13" width="11.140625" style="40" customWidth="1"/>
    <col min="17" max="17" width="2.5703125" customWidth="1"/>
    <col min="18" max="19" width="8.85546875" customWidth="1"/>
    <col min="20" max="20" width="11.28515625" customWidth="1"/>
  </cols>
  <sheetData>
    <row r="1" spans="1:21" x14ac:dyDescent="0.25">
      <c r="A1" s="112" t="s">
        <v>328</v>
      </c>
      <c r="B1" s="113" t="s">
        <v>338</v>
      </c>
      <c r="C1" s="112" t="s">
        <v>329</v>
      </c>
      <c r="D1" s="112"/>
      <c r="E1" s="112" t="s">
        <v>299</v>
      </c>
      <c r="F1" s="112"/>
      <c r="G1" s="112"/>
      <c r="H1" s="44"/>
      <c r="I1" s="112" t="s">
        <v>300</v>
      </c>
      <c r="J1" s="112"/>
      <c r="K1" s="112"/>
      <c r="L1" s="112"/>
      <c r="M1" s="115" t="s">
        <v>331</v>
      </c>
      <c r="N1" s="115"/>
      <c r="O1" s="112" t="s">
        <v>333</v>
      </c>
      <c r="P1" s="112"/>
      <c r="R1" s="54"/>
      <c r="S1" s="54"/>
    </row>
    <row r="2" spans="1:21" x14ac:dyDescent="0.25">
      <c r="A2" s="112"/>
      <c r="B2" s="114"/>
      <c r="C2" s="44" t="s">
        <v>329</v>
      </c>
      <c r="D2" s="45" t="s">
        <v>332</v>
      </c>
      <c r="E2" s="44" t="s">
        <v>330</v>
      </c>
      <c r="F2" s="44" t="s">
        <v>2</v>
      </c>
      <c r="G2" s="44" t="s">
        <v>332</v>
      </c>
      <c r="H2" s="44"/>
      <c r="I2" s="44" t="s">
        <v>300</v>
      </c>
      <c r="J2" s="44" t="s">
        <v>336</v>
      </c>
      <c r="K2" s="44" t="s">
        <v>337</v>
      </c>
      <c r="L2" s="45" t="s">
        <v>332</v>
      </c>
      <c r="M2" s="45" t="s">
        <v>332</v>
      </c>
      <c r="N2" s="44" t="s">
        <v>304</v>
      </c>
      <c r="O2" s="44" t="s">
        <v>334</v>
      </c>
      <c r="P2" s="44" t="s">
        <v>332</v>
      </c>
      <c r="R2" s="58"/>
      <c r="S2" s="58"/>
      <c r="T2" s="51" t="s">
        <v>348</v>
      </c>
      <c r="U2" s="51" t="s">
        <v>349</v>
      </c>
    </row>
    <row r="3" spans="1:21" x14ac:dyDescent="0.25">
      <c r="A3" s="46">
        <v>0</v>
      </c>
      <c r="B3" s="46" t="s">
        <v>319</v>
      </c>
      <c r="C3" s="47" t="s">
        <v>335</v>
      </c>
      <c r="D3" s="48">
        <v>11059600</v>
      </c>
      <c r="E3" s="46">
        <v>7</v>
      </c>
      <c r="F3" s="50">
        <f>2^(E3+1)</f>
        <v>256</v>
      </c>
      <c r="G3" s="48">
        <f>IF(D3&lt;&gt;"",D3/F3,"")</f>
        <v>43201.5625</v>
      </c>
      <c r="H3" s="49"/>
      <c r="I3" s="47">
        <v>43201</v>
      </c>
      <c r="J3" s="46" t="str">
        <f>IF(I3&lt;&gt;"",DEC2HEX(I3),"")</f>
        <v>A8C1</v>
      </c>
      <c r="K3" s="46" t="str">
        <f>IF(I3&lt;&gt;"",DEC2HEX(2^16-I3),"")</f>
        <v>573F</v>
      </c>
      <c r="L3" s="48">
        <f>G3/I3</f>
        <v>1.0000130205319322</v>
      </c>
      <c r="M3" s="48">
        <f>L3</f>
        <v>1.0000130205319322</v>
      </c>
      <c r="N3" s="48">
        <f>1/M3</f>
        <v>0.99998697963759986</v>
      </c>
      <c r="O3" s="47">
        <v>1</v>
      </c>
      <c r="P3" s="48">
        <f>M3/O3</f>
        <v>1.0000130205319322</v>
      </c>
      <c r="R3" s="54"/>
      <c r="S3" s="54"/>
    </row>
    <row r="4" spans="1:21" x14ac:dyDescent="0.25">
      <c r="A4" s="46">
        <v>1</v>
      </c>
      <c r="B4" s="46" t="s">
        <v>116</v>
      </c>
      <c r="C4" s="47" t="s">
        <v>1</v>
      </c>
      <c r="D4" s="48">
        <f>I_Clock</f>
        <v>2000000</v>
      </c>
      <c r="E4" s="46">
        <v>0</v>
      </c>
      <c r="F4" s="50">
        <v>1</v>
      </c>
      <c r="G4" s="48">
        <f t="shared" ref="G4:G6" si="0">IF(D4&lt;&gt;"",D4/F4,"")</f>
        <v>2000000</v>
      </c>
      <c r="H4" s="47"/>
      <c r="I4" s="47">
        <v>1</v>
      </c>
      <c r="J4" s="46" t="str">
        <f t="shared" ref="J4:J6" si="1">IF(I4&lt;&gt;"",DEC2HEX(I4),"")</f>
        <v>1</v>
      </c>
      <c r="K4" s="46" t="str">
        <f t="shared" ref="K4:K6" si="2">IF(I4&lt;&gt;"",DEC2HEX(2^16-I4),"")</f>
        <v>FFFF</v>
      </c>
      <c r="L4" s="48">
        <v>2000000</v>
      </c>
      <c r="M4" s="48">
        <f>L4/2^E4/I4</f>
        <v>2000000</v>
      </c>
      <c r="N4" s="48">
        <f>1/M4</f>
        <v>4.9999999999999998E-7</v>
      </c>
      <c r="O4" s="47"/>
      <c r="P4" s="48"/>
      <c r="R4" s="54"/>
      <c r="S4" s="54"/>
      <c r="T4" s="43">
        <f>2^16*N4</f>
        <v>3.2767999999999999E-2</v>
      </c>
      <c r="U4" s="43" t="e">
        <f>Sound_mm_per_Sec*N4</f>
        <v>#NAME?</v>
      </c>
    </row>
    <row r="5" spans="1:21" x14ac:dyDescent="0.25">
      <c r="A5" s="46">
        <v>2</v>
      </c>
      <c r="B5" s="46" t="s">
        <v>114</v>
      </c>
      <c r="C5" s="47" t="s">
        <v>1</v>
      </c>
      <c r="D5" s="48">
        <f>I_Clock</f>
        <v>2000000</v>
      </c>
      <c r="E5" s="46">
        <v>0</v>
      </c>
      <c r="F5" s="50">
        <f>2^(E5*2)</f>
        <v>1</v>
      </c>
      <c r="G5" s="48">
        <f t="shared" si="0"/>
        <v>2000000</v>
      </c>
      <c r="H5" s="47"/>
      <c r="I5" s="47">
        <v>50</v>
      </c>
      <c r="J5" s="46" t="str">
        <f t="shared" si="1"/>
        <v>32</v>
      </c>
      <c r="K5" s="46" t="str">
        <f t="shared" si="2"/>
        <v>FFCE</v>
      </c>
      <c r="L5" s="48">
        <v>2000000</v>
      </c>
      <c r="M5" s="48">
        <f>L5/2^E5/I5</f>
        <v>40000</v>
      </c>
      <c r="N5" s="48">
        <f>1/M5</f>
        <v>2.5000000000000001E-5</v>
      </c>
      <c r="O5" s="47"/>
      <c r="P5" s="47"/>
      <c r="R5" s="55"/>
      <c r="S5" s="55"/>
    </row>
    <row r="6" spans="1:21" x14ac:dyDescent="0.25">
      <c r="A6" s="46">
        <v>3</v>
      </c>
      <c r="B6" s="46" t="s">
        <v>339</v>
      </c>
      <c r="C6" s="47" t="s">
        <v>1</v>
      </c>
      <c r="D6" s="48">
        <f>I_Clock</f>
        <v>2000000</v>
      </c>
      <c r="E6" s="46">
        <v>0</v>
      </c>
      <c r="F6" s="50">
        <f>2^(E6)</f>
        <v>1</v>
      </c>
      <c r="G6" s="48">
        <f t="shared" si="0"/>
        <v>2000000</v>
      </c>
      <c r="H6" s="47"/>
      <c r="I6" s="47">
        <v>100</v>
      </c>
      <c r="J6" s="46" t="str">
        <f t="shared" si="1"/>
        <v>64</v>
      </c>
      <c r="K6" s="46" t="str">
        <f t="shared" si="2"/>
        <v>FF9C</v>
      </c>
      <c r="L6" s="48">
        <v>2000000</v>
      </c>
      <c r="M6" s="48">
        <f>L6/2^E6/I6</f>
        <v>20000</v>
      </c>
      <c r="N6" s="48">
        <f>1/M6</f>
        <v>5.0000000000000002E-5</v>
      </c>
      <c r="O6" s="47"/>
      <c r="P6" s="47"/>
    </row>
    <row r="8" spans="1:21" x14ac:dyDescent="0.25">
      <c r="A8" s="116" t="s">
        <v>113</v>
      </c>
      <c r="B8" s="116" t="s">
        <v>350</v>
      </c>
      <c r="C8" s="117" t="s">
        <v>352</v>
      </c>
      <c r="D8" s="103" t="s">
        <v>8</v>
      </c>
      <c r="E8" s="103"/>
      <c r="F8" s="116" t="s">
        <v>299</v>
      </c>
      <c r="G8" s="116"/>
      <c r="I8" s="116" t="s">
        <v>354</v>
      </c>
      <c r="J8" s="116"/>
      <c r="L8" s="103" t="s">
        <v>361</v>
      </c>
      <c r="M8" s="103"/>
    </row>
    <row r="9" spans="1:21" x14ac:dyDescent="0.25">
      <c r="A9" s="116"/>
      <c r="B9" s="116"/>
      <c r="C9" s="117"/>
      <c r="D9" s="40" t="s">
        <v>332</v>
      </c>
      <c r="E9" s="9" t="s">
        <v>304</v>
      </c>
      <c r="F9" t="s">
        <v>330</v>
      </c>
      <c r="G9" t="s">
        <v>2</v>
      </c>
      <c r="I9" t="s">
        <v>355</v>
      </c>
      <c r="J9" s="9" t="s">
        <v>356</v>
      </c>
      <c r="K9" s="41" t="s">
        <v>357</v>
      </c>
      <c r="L9" s="63" t="s">
        <v>362</v>
      </c>
      <c r="M9" s="63" t="s">
        <v>363</v>
      </c>
    </row>
    <row r="10" spans="1:21" x14ac:dyDescent="0.25">
      <c r="A10" s="9">
        <v>0</v>
      </c>
      <c r="D10" s="40">
        <f>M4</f>
        <v>2000000</v>
      </c>
      <c r="E10" s="62">
        <f t="shared" ref="E10:E13" si="3">N3</f>
        <v>0.99998697963759986</v>
      </c>
      <c r="F10" s="41">
        <v>0</v>
      </c>
      <c r="G10" s="41">
        <f>IF(F10&lt;&gt;"",2^F10,"")</f>
        <v>1</v>
      </c>
      <c r="J10" s="53"/>
      <c r="L10" s="17"/>
    </row>
    <row r="11" spans="1:21" x14ac:dyDescent="0.25">
      <c r="A11" s="9">
        <v>1</v>
      </c>
      <c r="B11" s="41" t="s">
        <v>242</v>
      </c>
      <c r="C11" t="s">
        <v>351</v>
      </c>
      <c r="D11" s="52">
        <f t="shared" ref="D11:D13" si="4">M4</f>
        <v>2000000</v>
      </c>
      <c r="E11" s="52">
        <f t="shared" si="3"/>
        <v>4.9999999999999998E-7</v>
      </c>
      <c r="F11" s="41">
        <v>0</v>
      </c>
      <c r="G11" s="41">
        <f t="shared" ref="G11:G13" si="5">IF(F11&lt;&gt;"",2^F11,"")</f>
        <v>1</v>
      </c>
      <c r="J11" s="53"/>
      <c r="L11" s="56">
        <f>HEX2DEC("FFFF")/G11*N4</f>
        <v>3.2767499999999998E-2</v>
      </c>
      <c r="M11" s="40" t="e">
        <f>Sound_Ft_Per_Sec*L11/2</f>
        <v>#NAME?</v>
      </c>
    </row>
    <row r="12" spans="1:21" x14ac:dyDescent="0.25">
      <c r="A12" s="9">
        <v>2</v>
      </c>
      <c r="B12" s="41" t="s">
        <v>72</v>
      </c>
      <c r="C12" t="s">
        <v>353</v>
      </c>
      <c r="D12" s="52">
        <f t="shared" si="4"/>
        <v>40000</v>
      </c>
      <c r="E12" s="52">
        <f t="shared" si="3"/>
        <v>2.5000000000000001E-5</v>
      </c>
      <c r="F12" s="41">
        <v>0</v>
      </c>
      <c r="G12" s="41">
        <f t="shared" si="5"/>
        <v>1</v>
      </c>
      <c r="I12">
        <v>1</v>
      </c>
      <c r="J12" s="56">
        <f>1/(I12*I_Clock*4*F5)</f>
        <v>1.2499999999999999E-7</v>
      </c>
      <c r="K12" s="57">
        <f>J12/E12</f>
        <v>4.9999999999999992E-3</v>
      </c>
    </row>
    <row r="13" spans="1:21" x14ac:dyDescent="0.25">
      <c r="A13" s="9">
        <v>3</v>
      </c>
      <c r="D13" s="52">
        <f t="shared" si="4"/>
        <v>20000</v>
      </c>
      <c r="E13" s="52">
        <f t="shared" si="3"/>
        <v>5.0000000000000002E-5</v>
      </c>
      <c r="F13" s="41"/>
      <c r="G13" s="41" t="str">
        <f t="shared" si="5"/>
        <v/>
      </c>
      <c r="J13" s="56"/>
    </row>
  </sheetData>
  <mergeCells count="14">
    <mergeCell ref="L8:M8"/>
    <mergeCell ref="I8:J8"/>
    <mergeCell ref="D8:E8"/>
    <mergeCell ref="A8:A9"/>
    <mergeCell ref="B8:B9"/>
    <mergeCell ref="C8:C9"/>
    <mergeCell ref="F8:G8"/>
    <mergeCell ref="A1:A2"/>
    <mergeCell ref="B1:B2"/>
    <mergeCell ref="M1:N1"/>
    <mergeCell ref="O1:P1"/>
    <mergeCell ref="E1:G1"/>
    <mergeCell ref="C1:D1"/>
    <mergeCell ref="I1:L1"/>
  </mergeCells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PMW Timing</vt:lpstr>
      <vt:lpstr>Timer Select</vt:lpstr>
      <vt:lpstr>Pin Defs</vt:lpstr>
      <vt:lpstr>Calcs</vt:lpstr>
      <vt:lpstr>TMR2 40Khz</vt:lpstr>
      <vt:lpstr>Parms</vt:lpstr>
      <vt:lpstr>Timer Settings</vt:lpstr>
      <vt:lpstr>Abs_Zero_K</vt:lpstr>
      <vt:lpstr>Air_Temp</vt:lpstr>
      <vt:lpstr>d_CurrTemp</vt:lpstr>
      <vt:lpstr>d_EmptySpace</vt:lpstr>
      <vt:lpstr>d_mmPerTick</vt:lpstr>
      <vt:lpstr>d_SOS</vt:lpstr>
      <vt:lpstr>d_WaterHeight</vt:lpstr>
      <vt:lpstr>Gals_per_mm3</vt:lpstr>
      <vt:lpstr>gc_AbsZero</vt:lpstr>
      <vt:lpstr>gc_DefaultTemp</vt:lpstr>
      <vt:lpstr>gc_GalsPer_mm3</vt:lpstr>
      <vt:lpstr>gc_SOS_at_0</vt:lpstr>
      <vt:lpstr>gc_TankDiam_In</vt:lpstr>
      <vt:lpstr>gc_TankHeight_In</vt:lpstr>
      <vt:lpstr>gc_TickPeriod</vt:lpstr>
      <vt:lpstr>gd_TankGalsPer_mm</vt:lpstr>
      <vt:lpstr>gd_TankHeight_mm</vt:lpstr>
      <vt:lpstr>gd_TankSurfArea</vt:lpstr>
      <vt:lpstr>I_Clock</vt:lpstr>
      <vt:lpstr>P_Clock</vt:lpstr>
      <vt:lpstr>SOS</vt:lpstr>
      <vt:lpstr>SOS_at_0</vt:lpstr>
      <vt:lpstr>SOS_at_Temp</vt:lpstr>
      <vt:lpstr>SOS_mmPSec</vt:lpstr>
      <vt:lpstr>TankDiam_In</vt:lpstr>
      <vt:lpstr>TankHeight_In</vt:lpstr>
      <vt:lpstr>TankSurfArea_mm2</vt:lpstr>
      <vt:lpstr>TickPeriod_S</vt:lpstr>
      <vt:lpstr>TMR_2</vt:lpstr>
      <vt:lpstr>WaterVol_G_per_mm3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Bender</dc:creator>
  <cp:lastModifiedBy>Michael Bender</cp:lastModifiedBy>
  <cp:lastPrinted>2021-04-18T14:41:33Z</cp:lastPrinted>
  <dcterms:created xsi:type="dcterms:W3CDTF">2021-04-08T10:36:19Z</dcterms:created>
  <dcterms:modified xsi:type="dcterms:W3CDTF">2021-04-21T21:06:18Z</dcterms:modified>
</cp:coreProperties>
</file>