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evans/Docs/Economics/OSE/UT-RateCut/data/"/>
    </mc:Choice>
  </mc:AlternateContent>
  <xr:revisionPtr revIDLastSave="0" documentId="13_ncr:1_{D2613EE4-E1ED-9048-A21A-896F47DB72DC}" xr6:coauthVersionLast="47" xr6:coauthVersionMax="47" xr10:uidLastSave="{00000000-0000-0000-0000-000000000000}"/>
  <bookViews>
    <workbookView xWindow="4760" yWindow="19720" windowWidth="31900" windowHeight="14840" xr2:uid="{DA92A03F-6D85-3D4B-A685-AC83812FC0E5}"/>
  </bookViews>
  <sheets>
    <sheet name="Table 2" sheetId="6" r:id="rId1"/>
    <sheet name="Table 3" sheetId="2" r:id="rId2"/>
    <sheet name="Cut 4.65" sheetId="1" r:id="rId3"/>
    <sheet name="Table 5" sheetId="5" r:id="rId4"/>
    <sheet name="Table 6" sheetId="3" r:id="rId5"/>
    <sheet name="Table 7 plus Baseline HH detai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5" l="1"/>
  <c r="F17" i="5"/>
  <c r="G17" i="5" s="1"/>
  <c r="H17" i="5" s="1"/>
  <c r="F16" i="5"/>
  <c r="F14" i="5"/>
  <c r="F13" i="5"/>
  <c r="F12" i="5"/>
  <c r="F10" i="5"/>
  <c r="F9" i="5"/>
  <c r="F8" i="5"/>
  <c r="D18" i="5"/>
  <c r="D17" i="5"/>
  <c r="D16" i="5"/>
  <c r="G16" i="5" s="1"/>
  <c r="H16" i="5" s="1"/>
  <c r="D14" i="5"/>
  <c r="G14" i="5" s="1"/>
  <c r="H14" i="5" s="1"/>
  <c r="D13" i="5"/>
  <c r="D12" i="5"/>
  <c r="G12" i="5" s="1"/>
  <c r="H12" i="5" s="1"/>
  <c r="D10" i="5"/>
  <c r="D9" i="5"/>
  <c r="D8" i="5"/>
  <c r="H4" i="3"/>
  <c r="L3" i="1"/>
  <c r="L2" i="1"/>
  <c r="C10" i="6" s="1"/>
  <c r="C9" i="6"/>
  <c r="C8" i="6"/>
  <c r="J6" i="2"/>
  <c r="I8" i="2"/>
  <c r="I7" i="2"/>
  <c r="H7" i="2"/>
  <c r="H8" i="2" s="1"/>
  <c r="J8" i="2" s="1"/>
  <c r="I6" i="2"/>
  <c r="H6" i="2"/>
  <c r="G10" i="5"/>
  <c r="H10" i="5" s="1"/>
  <c r="G18" i="5"/>
  <c r="H18" i="5" s="1"/>
  <c r="G13" i="5"/>
  <c r="H13" i="5" s="1"/>
  <c r="G9" i="5"/>
  <c r="H9" i="5" s="1"/>
  <c r="G8" i="5"/>
  <c r="H8" i="5" s="1"/>
  <c r="E54" i="4"/>
  <c r="E59" i="4" s="1"/>
  <c r="E60" i="4" s="1"/>
  <c r="E34" i="4"/>
  <c r="E39" i="4" s="1"/>
  <c r="E40" i="4" s="1"/>
  <c r="E6" i="4"/>
  <c r="E11" i="4"/>
  <c r="E14" i="4"/>
  <c r="F6" i="3"/>
  <c r="F5" i="3"/>
  <c r="G5" i="3" s="1"/>
  <c r="D6" i="3"/>
  <c r="D5" i="3"/>
  <c r="D12" i="2"/>
  <c r="C12" i="2"/>
  <c r="B12" i="2"/>
  <c r="D11" i="2"/>
  <c r="D18" i="2" s="1"/>
  <c r="D10" i="2"/>
  <c r="D9" i="2"/>
  <c r="C11" i="2"/>
  <c r="B11" i="2"/>
  <c r="B18" i="2" s="1"/>
  <c r="C10" i="2"/>
  <c r="B10" i="2"/>
  <c r="C9" i="2"/>
  <c r="B9" i="2"/>
  <c r="H26" i="1"/>
  <c r="G26" i="1"/>
  <c r="H25" i="1"/>
  <c r="G25" i="1"/>
  <c r="H24" i="1"/>
  <c r="G24" i="1"/>
  <c r="H23" i="1"/>
  <c r="G23" i="1"/>
  <c r="I14" i="1"/>
  <c r="H14" i="1"/>
  <c r="G14" i="1"/>
  <c r="I9" i="1"/>
  <c r="H9" i="1"/>
  <c r="G9" i="1"/>
  <c r="I4" i="1"/>
  <c r="H4" i="1"/>
  <c r="G4" i="1"/>
  <c r="J5" i="3" l="1"/>
  <c r="J6" i="3"/>
  <c r="H5" i="3"/>
  <c r="C11" i="6" s="1"/>
  <c r="I6" i="3"/>
  <c r="G6" i="3"/>
  <c r="H6" i="3" s="1"/>
  <c r="C12" i="6" s="1"/>
  <c r="I5" i="3"/>
  <c r="J7" i="2"/>
  <c r="E19" i="4"/>
  <c r="E20" i="4" s="1"/>
</calcChain>
</file>

<file path=xl/sharedStrings.xml><?xml version="1.0" encoding="utf-8"?>
<sst xmlns="http://schemas.openxmlformats.org/spreadsheetml/2006/main" count="212" uniqueCount="128">
  <si>
    <t>2023 General Session</t>
  </si>
  <si>
    <t>FY2023</t>
  </si>
  <si>
    <t>FY2024</t>
  </si>
  <si>
    <t>FY2025</t>
  </si>
  <si>
    <t>Income tax fund</t>
  </si>
  <si>
    <t>Income tax fund, one time</t>
  </si>
  <si>
    <t>Total revenues</t>
  </si>
  <si>
    <t>HB 240</t>
  </si>
  <si>
    <t>Rep. Nelson Abbot</t>
  </si>
  <si>
    <t>4.85 to 4.65</t>
  </si>
  <si>
    <t>2022 General Session</t>
  </si>
  <si>
    <t>HB 197</t>
  </si>
  <si>
    <t>4.95 to 4.50</t>
  </si>
  <si>
    <t>FY2022</t>
  </si>
  <si>
    <t>Education Fund</t>
  </si>
  <si>
    <t>Education Fund, one-time</t>
  </si>
  <si>
    <t>SB 59</t>
  </si>
  <si>
    <t>Sen. Daniel McCay, Rep. Casey Snider</t>
  </si>
  <si>
    <t>4.95 to 4.85</t>
  </si>
  <si>
    <t>plus apportionment changes</t>
  </si>
  <si>
    <t>FY2021</t>
  </si>
  <si>
    <t>Individual income tax</t>
  </si>
  <si>
    <t>Total revenue</t>
  </si>
  <si>
    <t>IIT pct of total revenue</t>
  </si>
  <si>
    <t>Corporate income tax</t>
  </si>
  <si>
    <t>CIT pct of total revenue</t>
  </si>
  <si>
    <t>IIT pct of IIT + CIT</t>
  </si>
  <si>
    <t>CIT pct of IIT + CIT</t>
  </si>
  <si>
    <t>annual loss to PIT</t>
  </si>
  <si>
    <t>annual loss to CIT</t>
  </si>
  <si>
    <t>individual income tax</t>
  </si>
  <si>
    <t>FY2020</t>
  </si>
  <si>
    <t>corporate tax</t>
  </si>
  <si>
    <t>total revenue</t>
  </si>
  <si>
    <t>IIT pct tot rev</t>
  </si>
  <si>
    <t>CIT pct tot rev</t>
  </si>
  <si>
    <t>IIT pct IIT + CIT</t>
  </si>
  <si>
    <t>Fiscal note IIT + CIT</t>
  </si>
  <si>
    <t>Fiscal note IIT</t>
  </si>
  <si>
    <t>2018 General Session</t>
  </si>
  <si>
    <t>HB 293</t>
  </si>
  <si>
    <t>Year/Session</t>
  </si>
  <si>
    <t>Bill</t>
  </si>
  <si>
    <t>Revenue Summary Report</t>
  </si>
  <si>
    <t>2020-21</t>
  </si>
  <si>
    <t>2021-22</t>
  </si>
  <si>
    <t>Rate cut</t>
  </si>
  <si>
    <t>5.00% to 4.95%</t>
  </si>
  <si>
    <t>4.95% to 4.85%</t>
  </si>
  <si>
    <t>CIT pct IIT + CIT</t>
  </si>
  <si>
    <t>Rate cut from 4.85%</t>
  </si>
  <si>
    <t>Change in tax liability for low earner</t>
  </si>
  <si>
    <t>Change in tax liability for middle earner</t>
  </si>
  <si>
    <t>Factor above 4.75% rate cut change in tax liability for middle earner</t>
  </si>
  <si>
    <t>change in tax liability for high earner</t>
  </si>
  <si>
    <t>Factor above 4.75% rate cut change in tax liability for high earner</t>
  </si>
  <si>
    <t>Average factor above 4.75% rate cat</t>
  </si>
  <si>
    <t>Estimated revenue loss from tax cut reform (average, $ millions)</t>
  </si>
  <si>
    <t>Estimated revenue loss from tax cut reform (low, $ millions)</t>
  </si>
  <si>
    <t>Estimated revenue loss from tax cut reform (high, $ millions)</t>
  </si>
  <si>
    <t>Detailed baseline decomposition of before-tax to after-tax income for low, middle and high earners</t>
  </si>
  <si>
    <t>Low earner</t>
  </si>
  <si>
    <t>Before-tax income</t>
  </si>
  <si>
    <t>Broad category</t>
  </si>
  <si>
    <t>Subcategory</t>
  </si>
  <si>
    <t>Total benefits</t>
  </si>
  <si>
    <t>SNAP allotment</t>
  </si>
  <si>
    <t>Free school meals</t>
  </si>
  <si>
    <t>Lifeline broadband subsidy</t>
  </si>
  <si>
    <t>Affordable Connectivity Program (ACP) subsidy</t>
  </si>
  <si>
    <t>Refundable tax credits</t>
  </si>
  <si>
    <t>Earned income tax credit (EITC)</t>
  </si>
  <si>
    <t>Refundable portion of the Child Tax Credit (CTC)</t>
  </si>
  <si>
    <t>Tax liability</t>
  </si>
  <si>
    <t>Federal income tax</t>
  </si>
  <si>
    <t>Social Security payroll tax</t>
  </si>
  <si>
    <t>Medicare payroll tax</t>
  </si>
  <si>
    <t>Utah state tax liability</t>
  </si>
  <si>
    <t>After-tax income</t>
  </si>
  <si>
    <t>Net tax liability</t>
  </si>
  <si>
    <t>totals</t>
  </si>
  <si>
    <t>Catogory</t>
  </si>
  <si>
    <t>Middle earner</t>
  </si>
  <si>
    <t>High earner</t>
  </si>
  <si>
    <t>Table 5 Effect of different size tax cuts on three example tax filer households</t>
  </si>
  <si>
    <t>Household type</t>
  </si>
  <si>
    <t>Before</t>
  </si>
  <si>
    <t>tax</t>
  </si>
  <si>
    <t>income</t>
  </si>
  <si>
    <t>After</t>
  </si>
  <si>
    <t>Total</t>
  </si>
  <si>
    <t>liability</t>
  </si>
  <si>
    <t>Change</t>
  </si>
  <si>
    <t>in tax</t>
  </si>
  <si>
    <t>Percent</t>
  </si>
  <si>
    <t>change in</t>
  </si>
  <si>
    <t>tax liability</t>
  </si>
  <si>
    <t>Current law</t>
  </si>
  <si>
    <t>Reform</t>
  </si>
  <si>
    <t>High income household</t>
  </si>
  <si>
    <t>Middle income household</t>
  </si>
  <si>
    <t>Low income household</t>
  </si>
  <si>
    <t>Rate cut to 4.50%</t>
  </si>
  <si>
    <t>Rate cut to 4.00%</t>
  </si>
  <si>
    <t>Table 2. Utah Individual Income Tax Rate History and Projected Annual Revenue Loss Since 2008</t>
  </si>
  <si>
    <t>Date range</t>
  </si>
  <si>
    <t>Estimated</t>
  </si>
  <si>
    <t>annual</t>
  </si>
  <si>
    <t>revenue</t>
  </si>
  <si>
    <t>loss</t>
  </si>
  <si>
    <t>Tax</t>
  </si>
  <si>
    <t>rate</t>
  </si>
  <si>
    <t>Jan. 1, 2008 to Dec. 31, 2017</t>
  </si>
  <si>
    <t>Jan. 1, 2018 to Dec. 31, 2021</t>
  </si>
  <si>
    <t>Jan. 1, 2022 to Dec. 31, 2022</t>
  </si>
  <si>
    <t>Proposed cut for 2023</t>
  </si>
  <si>
    <t>Larger proposed cut for 2023</t>
  </si>
  <si>
    <t>Largest proposed cut for 2023</t>
  </si>
  <si>
    <t>Table 3. Utah Individual Income Tax Revenue as Percentages of Total Revenue</t>
  </si>
  <si>
    <t>Percentage</t>
  </si>
  <si>
    <t>change</t>
  </si>
  <si>
    <t>2021-2022</t>
  </si>
  <si>
    <t>Total individual income tax revenue ($ millions)</t>
  </si>
  <si>
    <t>Total Utah tax revenue ($ millions)</t>
  </si>
  <si>
    <t>IIT Percentage of tatal state tax revenue</t>
  </si>
  <si>
    <t>IIT rate</t>
  </si>
  <si>
    <t>Table 6</t>
  </si>
  <si>
    <t>Rate cut to 4.65%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</si>
</sst>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&quot;$&quot;#,##0"/>
    <numFmt numFmtId="165" formatCode="0.0%"/>
    <numFmt numFmtId="166" formatCode="&quot;$&quot;#,##0.00"/>
    <numFmt numFmtId="167" formatCode="&quot;$&quot;#,##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1"/>
    <xf numFmtId="10" fontId="0" fillId="0" borderId="0" xfId="0" applyNumberFormat="1"/>
    <xf numFmtId="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2" fillId="0" borderId="3" xfId="0" applyFont="1" applyBorder="1"/>
    <xf numFmtId="164" fontId="2" fillId="0" borderId="3" xfId="0" applyNumberFormat="1" applyFont="1" applyBorder="1"/>
    <xf numFmtId="0" fontId="2" fillId="0" borderId="4" xfId="0" applyFont="1" applyBorder="1"/>
    <xf numFmtId="164" fontId="2" fillId="0" borderId="4" xfId="0" applyNumberFormat="1" applyFont="1" applyBorder="1"/>
    <xf numFmtId="0" fontId="0" fillId="0" borderId="5" xfId="0" applyBorder="1"/>
    <xf numFmtId="164" fontId="0" fillId="0" borderId="5" xfId="0" applyNumberFormat="1" applyBorder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9" xfId="0" applyBorder="1"/>
    <xf numFmtId="165" fontId="0" fillId="0" borderId="1" xfId="0" applyNumberFormat="1" applyBorder="1"/>
    <xf numFmtId="165" fontId="0" fillId="0" borderId="2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6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7" fontId="0" fillId="0" borderId="0" xfId="0" applyNumberFormat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5" fontId="0" fillId="0" borderId="16" xfId="0" applyNumberFormat="1" applyBorder="1"/>
    <xf numFmtId="0" fontId="0" fillId="0" borderId="17" xfId="0" applyBorder="1"/>
    <xf numFmtId="10" fontId="0" fillId="0" borderId="18" xfId="0" applyNumberFormat="1" applyBorder="1"/>
    <xf numFmtId="165" fontId="0" fillId="0" borderId="19" xfId="0" applyNumberFormat="1" applyBorder="1"/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ax.utah.gov/esu/revenuereports/2021-revenue-summary.pdf" TargetMode="External"/><Relationship Id="rId2" Type="http://schemas.openxmlformats.org/officeDocument/2006/relationships/hyperlink" Target="https://tax.utah.gov/esu/revenuereports/2021-revenue-summary.pdf" TargetMode="External"/><Relationship Id="rId1" Type="http://schemas.openxmlformats.org/officeDocument/2006/relationships/hyperlink" Target="https://le.utah.gov/~2018/bills/static/HB0293.html" TargetMode="External"/><Relationship Id="rId5" Type="http://schemas.openxmlformats.org/officeDocument/2006/relationships/hyperlink" Target="https://le.utah.gov/~2022/bills/static/SB0059.html" TargetMode="External"/><Relationship Id="rId4" Type="http://schemas.openxmlformats.org/officeDocument/2006/relationships/hyperlink" Target="https://tax.utah.gov/esu/revenuereports/2022-revenue-summar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2839-8054-B24E-81EE-2CBD0599259E}">
  <dimension ref="A1:E12"/>
  <sheetViews>
    <sheetView tabSelected="1" workbookViewId="0">
      <selection activeCell="C12" sqref="C12"/>
    </sheetView>
  </sheetViews>
  <sheetFormatPr baseColWidth="10" defaultRowHeight="16" x14ac:dyDescent="0.2"/>
  <cols>
    <col min="1" max="1" width="25.6640625" customWidth="1"/>
  </cols>
  <sheetData>
    <row r="1" spans="1:5" x14ac:dyDescent="0.2">
      <c r="A1" s="7" t="s">
        <v>104</v>
      </c>
    </row>
    <row r="3" spans="1:5" x14ac:dyDescent="0.2">
      <c r="C3" t="s">
        <v>106</v>
      </c>
    </row>
    <row r="4" spans="1:5" x14ac:dyDescent="0.2">
      <c r="C4" t="s">
        <v>107</v>
      </c>
    </row>
    <row r="5" spans="1:5" x14ac:dyDescent="0.2">
      <c r="B5" t="s">
        <v>110</v>
      </c>
      <c r="C5" t="s">
        <v>108</v>
      </c>
    </row>
    <row r="6" spans="1:5" x14ac:dyDescent="0.2">
      <c r="A6" t="s">
        <v>105</v>
      </c>
      <c r="B6" t="s">
        <v>111</v>
      </c>
      <c r="C6" t="s">
        <v>109</v>
      </c>
    </row>
    <row r="7" spans="1:5" x14ac:dyDescent="0.2">
      <c r="A7" t="s">
        <v>112</v>
      </c>
      <c r="B7" s="5">
        <v>0.05</v>
      </c>
    </row>
    <row r="8" spans="1:5" x14ac:dyDescent="0.2">
      <c r="A8" t="s">
        <v>113</v>
      </c>
      <c r="B8" s="5">
        <v>4.9500000000000002E-2</v>
      </c>
      <c r="C8" s="40">
        <f>'Table 3'!B18/1000000</f>
        <v>51.684523069126755</v>
      </c>
    </row>
    <row r="9" spans="1:5" x14ac:dyDescent="0.2">
      <c r="A9" t="s">
        <v>114</v>
      </c>
      <c r="B9" s="5">
        <v>4.8500000000000001E-2</v>
      </c>
      <c r="C9" s="40">
        <f>'Table 3'!D18/1000000</f>
        <v>143.84478734968673</v>
      </c>
    </row>
    <row r="10" spans="1:5" x14ac:dyDescent="0.2">
      <c r="A10" t="s">
        <v>115</v>
      </c>
      <c r="B10" s="5">
        <v>4.65E-2</v>
      </c>
      <c r="C10" s="40">
        <f>'Cut 4.65'!L2/1000000</f>
        <v>333.39017084149486</v>
      </c>
      <c r="E10" s="3"/>
    </row>
    <row r="11" spans="1:5" x14ac:dyDescent="0.2">
      <c r="A11" t="s">
        <v>116</v>
      </c>
      <c r="B11" s="5">
        <v>4.4999999999999998E-2</v>
      </c>
      <c r="C11" s="40">
        <f>'Table 6'!H5/1000000</f>
        <v>565.09633957633378</v>
      </c>
    </row>
    <row r="12" spans="1:5" x14ac:dyDescent="0.2">
      <c r="A12" t="s">
        <v>117</v>
      </c>
      <c r="B12" s="5">
        <v>0.04</v>
      </c>
      <c r="C12" s="40">
        <f>'Table 6'!H6/1000000</f>
        <v>1398.5717666800711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904A-5926-7A48-881E-230978E1CFAF}">
  <dimension ref="A1:J18"/>
  <sheetViews>
    <sheetView workbookViewId="0">
      <selection activeCell="D11" sqref="D11"/>
    </sheetView>
  </sheetViews>
  <sheetFormatPr baseColWidth="10" defaultRowHeight="16" x14ac:dyDescent="0.2"/>
  <cols>
    <col min="1" max="1" width="23" customWidth="1"/>
    <col min="2" max="2" width="11.1640625" bestFit="1" customWidth="1"/>
    <col min="4" max="4" width="12.1640625" bestFit="1" customWidth="1"/>
  </cols>
  <sheetData>
    <row r="1" spans="1:10" x14ac:dyDescent="0.2">
      <c r="G1" s="41" t="s">
        <v>118</v>
      </c>
      <c r="H1" s="42"/>
      <c r="I1" s="42"/>
      <c r="J1" s="43"/>
    </row>
    <row r="2" spans="1:10" x14ac:dyDescent="0.2">
      <c r="G2" s="44"/>
      <c r="J2" s="45"/>
    </row>
    <row r="3" spans="1:10" x14ac:dyDescent="0.2">
      <c r="B3" t="s">
        <v>31</v>
      </c>
      <c r="C3" t="s">
        <v>20</v>
      </c>
      <c r="D3" t="s">
        <v>13</v>
      </c>
      <c r="G3" s="44"/>
      <c r="J3" s="45" t="s">
        <v>119</v>
      </c>
    </row>
    <row r="4" spans="1:10" x14ac:dyDescent="0.2">
      <c r="A4" t="s">
        <v>43</v>
      </c>
      <c r="B4" s="4" t="s">
        <v>44</v>
      </c>
      <c r="C4" s="4" t="s">
        <v>44</v>
      </c>
      <c r="D4" s="4" t="s">
        <v>45</v>
      </c>
      <c r="E4" s="4"/>
      <c r="G4" s="44"/>
      <c r="J4" s="45" t="s">
        <v>120</v>
      </c>
    </row>
    <row r="5" spans="1:10" x14ac:dyDescent="0.2">
      <c r="A5" t="s">
        <v>30</v>
      </c>
      <c r="B5">
        <v>3985.4</v>
      </c>
      <c r="C5">
        <v>6110.5</v>
      </c>
      <c r="D5">
        <v>6771.9</v>
      </c>
      <c r="G5" s="44"/>
      <c r="H5" t="s">
        <v>20</v>
      </c>
      <c r="I5" t="s">
        <v>13</v>
      </c>
      <c r="J5" s="45" t="s">
        <v>121</v>
      </c>
    </row>
    <row r="6" spans="1:10" x14ac:dyDescent="0.2">
      <c r="A6" t="s">
        <v>32</v>
      </c>
      <c r="B6">
        <v>355.9</v>
      </c>
      <c r="C6">
        <v>742.7</v>
      </c>
      <c r="D6">
        <v>937</v>
      </c>
      <c r="G6" s="44" t="s">
        <v>122</v>
      </c>
      <c r="H6" s="40">
        <f>C5</f>
        <v>6110.5</v>
      </c>
      <c r="I6" s="40">
        <f>D5</f>
        <v>6771.9</v>
      </c>
      <c r="J6" s="46">
        <f>(I6-H6)/H6</f>
        <v>0.10823991490058091</v>
      </c>
    </row>
    <row r="7" spans="1:10" x14ac:dyDescent="0.2">
      <c r="A7" t="s">
        <v>33</v>
      </c>
      <c r="B7">
        <v>10701.4</v>
      </c>
      <c r="C7">
        <v>13965.6</v>
      </c>
      <c r="D7">
        <v>16020.1</v>
      </c>
      <c r="G7" s="44" t="s">
        <v>123</v>
      </c>
      <c r="H7" s="40">
        <f>C7</f>
        <v>13965.6</v>
      </c>
      <c r="I7" s="40">
        <f>D7</f>
        <v>16020.1</v>
      </c>
      <c r="J7" s="46">
        <f>(I7-H7)/H7</f>
        <v>0.1471114739073151</v>
      </c>
    </row>
    <row r="8" spans="1:10" x14ac:dyDescent="0.2">
      <c r="G8" s="44" t="s">
        <v>124</v>
      </c>
      <c r="H8" s="2">
        <f>H6/H7</f>
        <v>0.43753938248267171</v>
      </c>
      <c r="I8" s="2">
        <f>I6/I7</f>
        <v>0.42271271714908143</v>
      </c>
      <c r="J8" s="46">
        <f>(I8-H8)/H8</f>
        <v>-3.388647040058726E-2</v>
      </c>
    </row>
    <row r="9" spans="1:10" ht="17" thickBot="1" x14ac:dyDescent="0.25">
      <c r="A9" t="s">
        <v>34</v>
      </c>
      <c r="B9" s="2">
        <f>B5/B7</f>
        <v>0.37241856205730095</v>
      </c>
      <c r="C9" s="2">
        <f>C5/C7</f>
        <v>0.43753938248267171</v>
      </c>
      <c r="D9" s="2">
        <f>D5/D7</f>
        <v>0.42271271714908143</v>
      </c>
      <c r="G9" s="47" t="s">
        <v>125</v>
      </c>
      <c r="H9" s="48">
        <v>4.9500000000000002E-2</v>
      </c>
      <c r="I9" s="48">
        <v>4.8500000000000001E-2</v>
      </c>
      <c r="J9" s="49">
        <v>-1E-3</v>
      </c>
    </row>
    <row r="10" spans="1:10" x14ac:dyDescent="0.2">
      <c r="A10" t="s">
        <v>35</v>
      </c>
      <c r="B10" s="2">
        <f>B6/B7</f>
        <v>3.325733081652868E-2</v>
      </c>
      <c r="C10" s="2">
        <f>C6/C7</f>
        <v>5.3180672509595003E-2</v>
      </c>
      <c r="D10" s="2">
        <f>D6/D7</f>
        <v>5.8489023164649406E-2</v>
      </c>
    </row>
    <row r="11" spans="1:10" x14ac:dyDescent="0.2">
      <c r="A11" t="s">
        <v>36</v>
      </c>
      <c r="B11" s="2">
        <f>B5/(B5+B6)</f>
        <v>0.9180199479418607</v>
      </c>
      <c r="C11" s="2">
        <f>C5/(C5+C6)</f>
        <v>0.89162726901301581</v>
      </c>
      <c r="D11" s="2">
        <f>D5/(D5+D6)</f>
        <v>0.87845217865065051</v>
      </c>
    </row>
    <row r="12" spans="1:10" x14ac:dyDescent="0.2">
      <c r="A12" t="s">
        <v>49</v>
      </c>
      <c r="B12" s="2">
        <f>B6/(B5+B6)</f>
        <v>8.1980052058139255E-2</v>
      </c>
      <c r="C12" s="2">
        <f>C6/(C5+C6)</f>
        <v>0.10837273098698419</v>
      </c>
      <c r="D12" s="2">
        <f>D6/(D5+D6)</f>
        <v>0.12154782134934945</v>
      </c>
    </row>
    <row r="13" spans="1:10" x14ac:dyDescent="0.2">
      <c r="B13" s="2"/>
      <c r="C13" s="2"/>
      <c r="D13" s="2"/>
    </row>
    <row r="14" spans="1:10" x14ac:dyDescent="0.2">
      <c r="A14" t="s">
        <v>41</v>
      </c>
      <c r="B14" t="s">
        <v>39</v>
      </c>
      <c r="C14" s="2"/>
      <c r="D14" s="2" t="s">
        <v>10</v>
      </c>
    </row>
    <row r="15" spans="1:10" x14ac:dyDescent="0.2">
      <c r="A15" t="s">
        <v>42</v>
      </c>
      <c r="B15" s="4" t="s">
        <v>40</v>
      </c>
      <c r="D15" s="4" t="s">
        <v>16</v>
      </c>
    </row>
    <row r="16" spans="1:10" x14ac:dyDescent="0.2">
      <c r="A16" t="s">
        <v>46</v>
      </c>
      <c r="B16" t="s">
        <v>47</v>
      </c>
      <c r="D16" t="s">
        <v>48</v>
      </c>
    </row>
    <row r="17" spans="1:4" x14ac:dyDescent="0.2">
      <c r="A17" t="s">
        <v>37</v>
      </c>
      <c r="B17" s="1">
        <v>56300000</v>
      </c>
      <c r="C17" s="1"/>
      <c r="D17" s="1">
        <v>163748000</v>
      </c>
    </row>
    <row r="18" spans="1:4" x14ac:dyDescent="0.2">
      <c r="A18" t="s">
        <v>38</v>
      </c>
      <c r="B18" s="1">
        <f>B11*B17</f>
        <v>51684523.069126755</v>
      </c>
      <c r="C18" s="1"/>
      <c r="D18" s="1">
        <f>D11*D17</f>
        <v>143844787.34968671</v>
      </c>
    </row>
  </sheetData>
  <hyperlinks>
    <hyperlink ref="B15" r:id="rId1" xr:uid="{F724D0A2-1313-F246-A014-A5791D0E5C1D}"/>
    <hyperlink ref="B4" r:id="rId2" xr:uid="{8EC5A1CE-72E7-8A40-A7A2-5BFCE7EE7641}"/>
    <hyperlink ref="C4" r:id="rId3" xr:uid="{FEC3F99E-0E87-BD4E-90C7-5158CF7205B3}"/>
    <hyperlink ref="D4" r:id="rId4" xr:uid="{1E508258-3D39-7947-A28A-4E84A107F1F6}"/>
    <hyperlink ref="D15" r:id="rId5" xr:uid="{47C41323-3B72-394F-B172-DB3F8A635F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3FC3-8F89-9346-AD20-607F921FFA03}">
  <dimension ref="A1:R26"/>
  <sheetViews>
    <sheetView workbookViewId="0">
      <selection activeCell="H24" sqref="H24"/>
    </sheetView>
  </sheetViews>
  <sheetFormatPr baseColWidth="10" defaultRowHeight="16" x14ac:dyDescent="0.2"/>
  <cols>
    <col min="1" max="1" width="18.1640625" customWidth="1"/>
    <col min="2" max="2" width="7.6640625" customWidth="1"/>
    <col min="3" max="3" width="32.83203125" customWidth="1"/>
    <col min="6" max="6" width="22.33203125" customWidth="1"/>
    <col min="7" max="7" width="11.1640625" bestFit="1" customWidth="1"/>
    <col min="8" max="9" width="12.1640625" bestFit="1" customWidth="1"/>
    <col min="11" max="11" width="15.5" customWidth="1"/>
    <col min="12" max="12" width="14.6640625" bestFit="1" customWidth="1"/>
    <col min="18" max="18" width="14.6640625" bestFit="1" customWidth="1"/>
  </cols>
  <sheetData>
    <row r="1" spans="1:18" x14ac:dyDescent="0.2">
      <c r="A1" t="s">
        <v>0</v>
      </c>
      <c r="B1" t="s">
        <v>7</v>
      </c>
      <c r="C1" t="s">
        <v>8</v>
      </c>
      <c r="D1" t="s">
        <v>9</v>
      </c>
      <c r="E1" t="s">
        <v>9</v>
      </c>
      <c r="G1" t="s">
        <v>1</v>
      </c>
      <c r="H1" t="s">
        <v>2</v>
      </c>
      <c r="I1" t="s">
        <v>3</v>
      </c>
      <c r="R1" s="3"/>
    </row>
    <row r="2" spans="1:18" x14ac:dyDescent="0.2">
      <c r="F2" t="s">
        <v>4</v>
      </c>
      <c r="G2" s="1">
        <v>0</v>
      </c>
      <c r="H2" s="1">
        <v>379520000</v>
      </c>
      <c r="I2" s="1">
        <v>379520000</v>
      </c>
      <c r="K2" t="s">
        <v>28</v>
      </c>
      <c r="L2" s="3">
        <f>'Table 3'!D11*H2</f>
        <v>333390170.84149486</v>
      </c>
    </row>
    <row r="3" spans="1:18" x14ac:dyDescent="0.2">
      <c r="F3" t="s">
        <v>5</v>
      </c>
      <c r="G3" s="1">
        <v>6670000</v>
      </c>
      <c r="H3" s="1">
        <v>79630000</v>
      </c>
      <c r="I3" s="1">
        <v>0</v>
      </c>
      <c r="K3" t="s">
        <v>29</v>
      </c>
      <c r="L3" s="3">
        <f>'Table 3'!D12*H2</f>
        <v>46129829.158505104</v>
      </c>
    </row>
    <row r="4" spans="1:18" x14ac:dyDescent="0.2">
      <c r="F4" t="s">
        <v>6</v>
      </c>
      <c r="G4" s="1">
        <f>SUM(G2:G3)</f>
        <v>6670000</v>
      </c>
      <c r="H4" s="1">
        <f t="shared" ref="H4:I4" si="0">SUM(H2:H3)</f>
        <v>459150000</v>
      </c>
      <c r="I4" s="1">
        <f t="shared" si="0"/>
        <v>379520000</v>
      </c>
    </row>
    <row r="6" spans="1:18" x14ac:dyDescent="0.2">
      <c r="A6" t="s">
        <v>10</v>
      </c>
      <c r="B6" t="s">
        <v>11</v>
      </c>
      <c r="C6" t="s">
        <v>8</v>
      </c>
      <c r="D6" t="s">
        <v>12</v>
      </c>
      <c r="E6" t="s">
        <v>12</v>
      </c>
      <c r="G6" t="s">
        <v>13</v>
      </c>
      <c r="H6" t="s">
        <v>1</v>
      </c>
      <c r="I6" t="s">
        <v>2</v>
      </c>
    </row>
    <row r="7" spans="1:18" x14ac:dyDescent="0.2">
      <c r="F7" t="s">
        <v>14</v>
      </c>
      <c r="G7" s="1">
        <v>0</v>
      </c>
      <c r="H7" s="1">
        <v>734163000</v>
      </c>
      <c r="I7" s="1">
        <v>734163000</v>
      </c>
    </row>
    <row r="8" spans="1:18" x14ac:dyDescent="0.2">
      <c r="F8" t="s">
        <v>15</v>
      </c>
      <c r="G8" s="1">
        <v>60488000</v>
      </c>
      <c r="H8" s="1">
        <v>84061000</v>
      </c>
      <c r="I8" s="1">
        <v>0</v>
      </c>
    </row>
    <row r="9" spans="1:18" x14ac:dyDescent="0.2">
      <c r="F9" t="s">
        <v>6</v>
      </c>
      <c r="G9" s="1">
        <f>SUM(G7:G8)</f>
        <v>60488000</v>
      </c>
      <c r="H9" s="1">
        <f t="shared" ref="H9" si="1">SUM(H7:H8)</f>
        <v>818224000</v>
      </c>
      <c r="I9" s="1">
        <f t="shared" ref="I9" si="2">SUM(I7:I8)</f>
        <v>734163000</v>
      </c>
    </row>
    <row r="11" spans="1:18" x14ac:dyDescent="0.2">
      <c r="A11" t="s">
        <v>10</v>
      </c>
      <c r="B11" t="s">
        <v>16</v>
      </c>
      <c r="C11" t="s">
        <v>17</v>
      </c>
      <c r="D11" t="s">
        <v>18</v>
      </c>
      <c r="E11" t="s">
        <v>18</v>
      </c>
      <c r="G11" t="s">
        <v>13</v>
      </c>
      <c r="H11" t="s">
        <v>1</v>
      </c>
      <c r="I11" t="s">
        <v>2</v>
      </c>
    </row>
    <row r="12" spans="1:18" x14ac:dyDescent="0.2">
      <c r="D12" t="s">
        <v>19</v>
      </c>
      <c r="F12" t="s">
        <v>14</v>
      </c>
      <c r="G12" s="1">
        <v>0</v>
      </c>
      <c r="H12" s="1">
        <v>192916000</v>
      </c>
      <c r="I12" s="1">
        <v>192916000</v>
      </c>
    </row>
    <row r="13" spans="1:18" x14ac:dyDescent="0.2">
      <c r="F13" t="s">
        <v>15</v>
      </c>
      <c r="G13" s="1">
        <v>11455000</v>
      </c>
      <c r="H13" s="1">
        <v>18010000</v>
      </c>
      <c r="I13" s="1">
        <v>0</v>
      </c>
    </row>
    <row r="14" spans="1:18" x14ac:dyDescent="0.2">
      <c r="F14" t="s">
        <v>6</v>
      </c>
      <c r="G14" s="1">
        <f>SUM(G12:G13)</f>
        <v>11455000</v>
      </c>
      <c r="H14" s="1">
        <f t="shared" ref="H14" si="3">SUM(H12:H13)</f>
        <v>210926000</v>
      </c>
      <c r="I14" s="1">
        <f t="shared" ref="I14" si="4">SUM(I12:I13)</f>
        <v>192916000</v>
      </c>
    </row>
    <row r="18" spans="6:8" x14ac:dyDescent="0.2">
      <c r="G18" t="s">
        <v>20</v>
      </c>
      <c r="H18" t="s">
        <v>13</v>
      </c>
    </row>
    <row r="19" spans="6:8" x14ac:dyDescent="0.2">
      <c r="F19" t="s">
        <v>21</v>
      </c>
      <c r="G19">
        <v>6110.5</v>
      </c>
      <c r="H19">
        <v>6771.9</v>
      </c>
    </row>
    <row r="20" spans="6:8" x14ac:dyDescent="0.2">
      <c r="F20" t="s">
        <v>24</v>
      </c>
      <c r="G20">
        <v>742.7</v>
      </c>
      <c r="H20">
        <v>937</v>
      </c>
    </row>
    <row r="21" spans="6:8" x14ac:dyDescent="0.2">
      <c r="F21" t="s">
        <v>22</v>
      </c>
      <c r="G21">
        <v>13965.6</v>
      </c>
      <c r="H21">
        <v>16020.2</v>
      </c>
    </row>
    <row r="23" spans="6:8" x14ac:dyDescent="0.2">
      <c r="F23" t="s">
        <v>23</v>
      </c>
      <c r="G23" s="2">
        <f>G19/G21</f>
        <v>0.43753938248267171</v>
      </c>
      <c r="H23" s="2">
        <f>H19/H21</f>
        <v>0.42271007852586107</v>
      </c>
    </row>
    <row r="24" spans="6:8" x14ac:dyDescent="0.2">
      <c r="F24" t="s">
        <v>25</v>
      </c>
      <c r="G24" s="2">
        <f>G20/G21</f>
        <v>5.3180672509595003E-2</v>
      </c>
      <c r="H24" s="2">
        <f>H20/H21</f>
        <v>5.8488658069187648E-2</v>
      </c>
    </row>
    <row r="25" spans="6:8" x14ac:dyDescent="0.2">
      <c r="F25" t="s">
        <v>26</v>
      </c>
      <c r="G25" s="2">
        <f>G19/(G19+G20)</f>
        <v>0.89162726901301581</v>
      </c>
      <c r="H25" s="2">
        <f>H19/(H19+H20)</f>
        <v>0.87845217865065051</v>
      </c>
    </row>
    <row r="26" spans="6:8" x14ac:dyDescent="0.2">
      <c r="F26" t="s">
        <v>27</v>
      </c>
      <c r="G26" s="2">
        <f>G20/(G19+G20)</f>
        <v>0.10837273098698419</v>
      </c>
      <c r="H26" s="2">
        <f>H20/(H19+H20)</f>
        <v>0.12154782134934945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A0BE-5E1B-EB4B-93EA-9EB1FEE74EDC}">
  <dimension ref="A1:H19"/>
  <sheetViews>
    <sheetView workbookViewId="0">
      <selection activeCell="I9" sqref="I9"/>
    </sheetView>
  </sheetViews>
  <sheetFormatPr baseColWidth="10" defaultRowHeight="16" x14ac:dyDescent="0.2"/>
  <cols>
    <col min="1" max="1" width="22.5" customWidth="1"/>
  </cols>
  <sheetData>
    <row r="1" spans="1:8" x14ac:dyDescent="0.2">
      <c r="A1" t="s">
        <v>84</v>
      </c>
    </row>
    <row r="3" spans="1:8" ht="17" thickBot="1" x14ac:dyDescent="0.25">
      <c r="A3" s="8"/>
      <c r="B3" s="8"/>
      <c r="C3" s="50" t="s">
        <v>97</v>
      </c>
      <c r="D3" s="51"/>
      <c r="E3" s="50" t="s">
        <v>98</v>
      </c>
      <c r="F3" s="51"/>
      <c r="G3" s="8"/>
      <c r="H3" s="8"/>
    </row>
    <row r="4" spans="1:8" ht="17" thickTop="1" x14ac:dyDescent="0.2">
      <c r="A4" s="20"/>
      <c r="B4" s="24" t="s">
        <v>86</v>
      </c>
      <c r="C4" s="24" t="s">
        <v>89</v>
      </c>
      <c r="D4" s="29" t="s">
        <v>90</v>
      </c>
      <c r="E4" s="24" t="s">
        <v>89</v>
      </c>
      <c r="F4" s="29" t="s">
        <v>90</v>
      </c>
      <c r="G4" s="20" t="s">
        <v>92</v>
      </c>
      <c r="H4" s="20" t="s">
        <v>94</v>
      </c>
    </row>
    <row r="5" spans="1:8" x14ac:dyDescent="0.2">
      <c r="A5" s="8" t="s">
        <v>85</v>
      </c>
      <c r="B5" s="25" t="s">
        <v>87</v>
      </c>
      <c r="C5" s="25" t="s">
        <v>87</v>
      </c>
      <c r="D5" s="28" t="s">
        <v>87</v>
      </c>
      <c r="E5" s="25" t="s">
        <v>87</v>
      </c>
      <c r="F5" s="28" t="s">
        <v>87</v>
      </c>
      <c r="G5" s="8" t="s">
        <v>93</v>
      </c>
      <c r="H5" s="8" t="s">
        <v>95</v>
      </c>
    </row>
    <row r="6" spans="1:8" ht="17" thickBot="1" x14ac:dyDescent="0.25">
      <c r="A6" s="21"/>
      <c r="B6" s="26" t="s">
        <v>88</v>
      </c>
      <c r="C6" s="26" t="s">
        <v>88</v>
      </c>
      <c r="D6" s="30" t="s">
        <v>91</v>
      </c>
      <c r="E6" s="26" t="s">
        <v>88</v>
      </c>
      <c r="F6" s="30" t="s">
        <v>91</v>
      </c>
      <c r="G6" s="21" t="s">
        <v>91</v>
      </c>
      <c r="H6" s="21" t="s">
        <v>96</v>
      </c>
    </row>
    <row r="7" spans="1:8" ht="17" thickTop="1" x14ac:dyDescent="0.2">
      <c r="A7" s="22" t="s">
        <v>127</v>
      </c>
      <c r="B7" s="27"/>
      <c r="C7" s="27"/>
      <c r="D7" s="31"/>
      <c r="E7" s="27"/>
      <c r="F7" s="31"/>
    </row>
    <row r="8" spans="1:8" x14ac:dyDescent="0.2">
      <c r="A8" t="s">
        <v>99</v>
      </c>
      <c r="B8" s="34">
        <v>200000</v>
      </c>
      <c r="C8" s="34">
        <v>150505</v>
      </c>
      <c r="D8" s="35">
        <f>B8-C8</f>
        <v>49495</v>
      </c>
      <c r="E8" s="34">
        <v>150905</v>
      </c>
      <c r="F8" s="35">
        <f>B8-E8</f>
        <v>49095</v>
      </c>
      <c r="G8" s="1">
        <f>F8-D8</f>
        <v>-400</v>
      </c>
      <c r="H8" s="2">
        <f>G8/D8</f>
        <v>-8.0816244065057084E-3</v>
      </c>
    </row>
    <row r="9" spans="1:8" x14ac:dyDescent="0.2">
      <c r="A9" t="s">
        <v>100</v>
      </c>
      <c r="B9" s="34">
        <v>80000</v>
      </c>
      <c r="C9" s="34">
        <v>69606</v>
      </c>
      <c r="D9" s="35">
        <f>B9-C9</f>
        <v>10394</v>
      </c>
      <c r="E9" s="34">
        <v>69766</v>
      </c>
      <c r="F9" s="35">
        <f>B9-E9</f>
        <v>10234</v>
      </c>
      <c r="G9" s="1">
        <f>F9-D9</f>
        <v>-160</v>
      </c>
      <c r="H9" s="2">
        <f>G9/D9</f>
        <v>-1.539349624783529E-2</v>
      </c>
    </row>
    <row r="10" spans="1:8" ht="17" thickBot="1" x14ac:dyDescent="0.25">
      <c r="A10" t="s">
        <v>101</v>
      </c>
      <c r="B10" s="34">
        <v>25000</v>
      </c>
      <c r="C10" s="34">
        <v>42138</v>
      </c>
      <c r="D10" s="35">
        <f>B10-C10</f>
        <v>-17138</v>
      </c>
      <c r="E10" s="34">
        <v>42138</v>
      </c>
      <c r="F10" s="35">
        <f>B10-E10</f>
        <v>-17138</v>
      </c>
      <c r="G10" s="1">
        <f>F10-D10</f>
        <v>0</v>
      </c>
      <c r="H10" s="2">
        <f>G10/D10</f>
        <v>0</v>
      </c>
    </row>
    <row r="11" spans="1:8" ht="17" thickTop="1" x14ac:dyDescent="0.2">
      <c r="A11" s="23" t="s">
        <v>102</v>
      </c>
      <c r="B11" s="36"/>
      <c r="C11" s="36"/>
      <c r="D11" s="37"/>
      <c r="E11" s="36"/>
      <c r="F11" s="37"/>
      <c r="G11" s="10"/>
      <c r="H11" s="32"/>
    </row>
    <row r="12" spans="1:8" x14ac:dyDescent="0.2">
      <c r="A12" t="s">
        <v>99</v>
      </c>
      <c r="B12" s="34">
        <v>200000</v>
      </c>
      <c r="C12" s="34">
        <v>150505</v>
      </c>
      <c r="D12" s="35">
        <f>B12-C12</f>
        <v>49495</v>
      </c>
      <c r="E12" s="34">
        <v>151161</v>
      </c>
      <c r="F12" s="35">
        <f>B12-E12</f>
        <v>48839</v>
      </c>
      <c r="G12" s="1">
        <f t="shared" ref="G12:G13" si="0">F12-D12</f>
        <v>-656</v>
      </c>
      <c r="H12" s="2">
        <f t="shared" ref="H12:H13" si="1">G12/D12</f>
        <v>-1.325386402666936E-2</v>
      </c>
    </row>
    <row r="13" spans="1:8" x14ac:dyDescent="0.2">
      <c r="A13" t="s">
        <v>100</v>
      </c>
      <c r="B13" s="34">
        <v>80000</v>
      </c>
      <c r="C13" s="34">
        <v>69606</v>
      </c>
      <c r="D13" s="35">
        <f>B13-C13</f>
        <v>10394</v>
      </c>
      <c r="E13" s="34">
        <v>69886</v>
      </c>
      <c r="F13" s="35">
        <f>B13-E13</f>
        <v>10114</v>
      </c>
      <c r="G13" s="1">
        <f t="shared" si="0"/>
        <v>-280</v>
      </c>
      <c r="H13" s="2">
        <f t="shared" si="1"/>
        <v>-2.6938618433711758E-2</v>
      </c>
    </row>
    <row r="14" spans="1:8" ht="17" thickBot="1" x14ac:dyDescent="0.25">
      <c r="A14" s="11" t="s">
        <v>101</v>
      </c>
      <c r="B14" s="38">
        <v>25000</v>
      </c>
      <c r="C14" s="38">
        <v>42138</v>
      </c>
      <c r="D14" s="39">
        <f>B14-C14</f>
        <v>-17138</v>
      </c>
      <c r="E14" s="38">
        <v>42138</v>
      </c>
      <c r="F14" s="39">
        <f>B14-E14</f>
        <v>-17138</v>
      </c>
      <c r="G14" s="12">
        <f>F14-D14</f>
        <v>0</v>
      </c>
      <c r="H14" s="33">
        <f>G14/D14</f>
        <v>0</v>
      </c>
    </row>
    <row r="15" spans="1:8" ht="17" thickTop="1" x14ac:dyDescent="0.2">
      <c r="A15" s="22" t="s">
        <v>103</v>
      </c>
      <c r="B15" s="34"/>
      <c r="C15" s="34"/>
      <c r="D15" s="35"/>
      <c r="E15" s="34"/>
      <c r="F15" s="35"/>
      <c r="G15" s="1"/>
      <c r="H15" s="2"/>
    </row>
    <row r="16" spans="1:8" x14ac:dyDescent="0.2">
      <c r="A16" t="s">
        <v>99</v>
      </c>
      <c r="B16" s="34">
        <v>200000</v>
      </c>
      <c r="C16" s="34">
        <v>150505</v>
      </c>
      <c r="D16" s="35">
        <f>B16-C16</f>
        <v>49495</v>
      </c>
      <c r="E16" s="34">
        <v>152161</v>
      </c>
      <c r="F16" s="35">
        <f>B16-E16</f>
        <v>47839</v>
      </c>
      <c r="G16" s="1">
        <f t="shared" ref="G16:G17" si="2">F16-D16</f>
        <v>-1656</v>
      </c>
      <c r="H16" s="2">
        <f t="shared" ref="H16:H17" si="3">G16/D16</f>
        <v>-3.3457925042933628E-2</v>
      </c>
    </row>
    <row r="17" spans="1:8" x14ac:dyDescent="0.2">
      <c r="A17" t="s">
        <v>100</v>
      </c>
      <c r="B17" s="34">
        <v>80000</v>
      </c>
      <c r="C17" s="34">
        <v>69606</v>
      </c>
      <c r="D17" s="35">
        <f>B17-C17</f>
        <v>10394</v>
      </c>
      <c r="E17" s="34">
        <v>70286</v>
      </c>
      <c r="F17" s="35">
        <f>B17-E17</f>
        <v>9714</v>
      </c>
      <c r="G17" s="1">
        <f t="shared" si="2"/>
        <v>-680</v>
      </c>
      <c r="H17" s="2">
        <f t="shared" si="3"/>
        <v>-6.5422359053299975E-2</v>
      </c>
    </row>
    <row r="18" spans="1:8" ht="17" thickBot="1" x14ac:dyDescent="0.25">
      <c r="A18" s="11" t="s">
        <v>101</v>
      </c>
      <c r="B18" s="38">
        <v>25000</v>
      </c>
      <c r="C18" s="38">
        <v>42138</v>
      </c>
      <c r="D18" s="39">
        <f>B18-C18</f>
        <v>-17138</v>
      </c>
      <c r="E18" s="38">
        <v>42138</v>
      </c>
      <c r="F18" s="39">
        <f>B18-E18</f>
        <v>-17138</v>
      </c>
      <c r="G18" s="12">
        <f>F18-D18</f>
        <v>0</v>
      </c>
      <c r="H18" s="33">
        <f>G18/D18</f>
        <v>0</v>
      </c>
    </row>
    <row r="19" spans="1:8" ht="17" thickTop="1" x14ac:dyDescent="0.2"/>
  </sheetData>
  <mergeCells count="2">
    <mergeCell ref="E3:F3"/>
    <mergeCell ref="C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494B-4C61-7B4E-B32F-B3DD993121D7}">
  <dimension ref="A1:J6"/>
  <sheetViews>
    <sheetView workbookViewId="0">
      <selection activeCell="G6" sqref="G6"/>
    </sheetView>
  </sheetViews>
  <sheetFormatPr baseColWidth="10" defaultRowHeight="16" x14ac:dyDescent="0.2"/>
  <cols>
    <col min="8" max="10" width="13.6640625" bestFit="1" customWidth="1"/>
  </cols>
  <sheetData>
    <row r="1" spans="1:10" x14ac:dyDescent="0.2">
      <c r="A1" t="s">
        <v>126</v>
      </c>
    </row>
    <row r="3" spans="1:10" x14ac:dyDescent="0.2">
      <c r="A3" t="s">
        <v>50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</row>
    <row r="4" spans="1:10" x14ac:dyDescent="0.2">
      <c r="A4" s="5">
        <v>4.65E-2</v>
      </c>
      <c r="B4" s="6">
        <v>0</v>
      </c>
      <c r="C4" s="1">
        <v>-160</v>
      </c>
      <c r="E4" s="1">
        <v>-400</v>
      </c>
      <c r="H4" s="1">
        <f>'Cut 4.65'!L2</f>
        <v>333390170.84149486</v>
      </c>
      <c r="I4" s="1"/>
      <c r="J4" s="1"/>
    </row>
    <row r="5" spans="1:10" x14ac:dyDescent="0.2">
      <c r="A5" s="5">
        <v>4.4999999999999998E-2</v>
      </c>
      <c r="B5" s="6">
        <v>0</v>
      </c>
      <c r="C5" s="1">
        <v>-280</v>
      </c>
      <c r="D5">
        <f>C5/C4</f>
        <v>1.75</v>
      </c>
      <c r="E5" s="1">
        <v>-656</v>
      </c>
      <c r="F5">
        <f>E5/E4</f>
        <v>1.64</v>
      </c>
      <c r="G5">
        <f>0.5*D5+0.5*F5</f>
        <v>1.6949999999999998</v>
      </c>
      <c r="H5" s="1">
        <f>G5*H4</f>
        <v>565096339.57633376</v>
      </c>
      <c r="I5" s="1">
        <f>F5*H4</f>
        <v>546759880.18005157</v>
      </c>
      <c r="J5" s="1">
        <f>D5*H4</f>
        <v>583432798.97261596</v>
      </c>
    </row>
    <row r="6" spans="1:10" x14ac:dyDescent="0.2">
      <c r="A6" s="5">
        <v>0.04</v>
      </c>
      <c r="B6" s="6">
        <v>0</v>
      </c>
      <c r="C6" s="1">
        <v>-680</v>
      </c>
      <c r="D6">
        <f>C6/C4</f>
        <v>4.25</v>
      </c>
      <c r="E6" s="1">
        <v>-1656</v>
      </c>
      <c r="F6">
        <f>E6/E4</f>
        <v>4.1399999999999997</v>
      </c>
      <c r="G6">
        <f>0.5*D6+0.5*F6</f>
        <v>4.1950000000000003</v>
      </c>
      <c r="H6" s="1">
        <f>G6*H4</f>
        <v>1398571766.6800711</v>
      </c>
      <c r="I6" s="1">
        <f>F6*H4</f>
        <v>1380235307.2837887</v>
      </c>
      <c r="J6" s="1">
        <f>D6*H4</f>
        <v>1416908226.0763531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65E5-FE40-C346-874A-AA8FF7B32EC8}">
  <dimension ref="A1:F61"/>
  <sheetViews>
    <sheetView workbookViewId="0">
      <selection activeCell="H25" sqref="H25"/>
    </sheetView>
  </sheetViews>
  <sheetFormatPr baseColWidth="10" defaultRowHeight="16" x14ac:dyDescent="0.2"/>
  <cols>
    <col min="2" max="2" width="3" customWidth="1"/>
    <col min="3" max="3" width="19.5" customWidth="1"/>
    <col min="4" max="4" width="40.1640625" customWidth="1"/>
  </cols>
  <sheetData>
    <row r="1" spans="1:6" x14ac:dyDescent="0.2">
      <c r="A1" t="s">
        <v>60</v>
      </c>
    </row>
    <row r="3" spans="1:6" x14ac:dyDescent="0.2">
      <c r="A3" s="7" t="s">
        <v>61</v>
      </c>
      <c r="C3" s="8"/>
      <c r="D3" s="8"/>
      <c r="E3" s="8" t="s">
        <v>81</v>
      </c>
      <c r="F3" s="8" t="s">
        <v>64</v>
      </c>
    </row>
    <row r="4" spans="1:6" ht="17" thickBot="1" x14ac:dyDescent="0.25">
      <c r="C4" s="8" t="s">
        <v>63</v>
      </c>
      <c r="D4" s="8" t="s">
        <v>64</v>
      </c>
      <c r="E4" s="8" t="s">
        <v>80</v>
      </c>
      <c r="F4" s="8" t="s">
        <v>80</v>
      </c>
    </row>
    <row r="5" spans="1:6" ht="18" thickTop="1" thickBot="1" x14ac:dyDescent="0.25">
      <c r="C5" s="9" t="s">
        <v>62</v>
      </c>
      <c r="D5" s="9"/>
      <c r="E5" s="10">
        <v>25000</v>
      </c>
      <c r="F5" s="10"/>
    </row>
    <row r="6" spans="1:6" x14ac:dyDescent="0.2">
      <c r="C6" s="17" t="s">
        <v>65</v>
      </c>
      <c r="D6" s="17"/>
      <c r="E6" s="18">
        <f>SUM(F7:F10)</f>
        <v>9247</v>
      </c>
      <c r="F6" s="18"/>
    </row>
    <row r="7" spans="1:6" x14ac:dyDescent="0.2">
      <c r="D7" t="s">
        <v>66</v>
      </c>
      <c r="E7" s="1"/>
      <c r="F7" s="1">
        <v>6861</v>
      </c>
    </row>
    <row r="8" spans="1:6" x14ac:dyDescent="0.2">
      <c r="D8" t="s">
        <v>67</v>
      </c>
      <c r="E8" s="1"/>
      <c r="F8" s="1">
        <v>1915</v>
      </c>
    </row>
    <row r="9" spans="1:6" x14ac:dyDescent="0.2">
      <c r="D9" t="s">
        <v>68</v>
      </c>
      <c r="E9" s="1"/>
      <c r="F9" s="1">
        <v>111</v>
      </c>
    </row>
    <row r="10" spans="1:6" ht="17" thickBot="1" x14ac:dyDescent="0.25">
      <c r="D10" t="s">
        <v>69</v>
      </c>
      <c r="E10" s="1"/>
      <c r="F10" s="1">
        <v>360</v>
      </c>
    </row>
    <row r="11" spans="1:6" x14ac:dyDescent="0.2">
      <c r="C11" s="17" t="s">
        <v>70</v>
      </c>
      <c r="D11" s="17"/>
      <c r="E11" s="18">
        <f>SUM(F12:F13)</f>
        <v>9804</v>
      </c>
      <c r="F11" s="18"/>
    </row>
    <row r="12" spans="1:6" x14ac:dyDescent="0.2">
      <c r="D12" t="s">
        <v>71</v>
      </c>
      <c r="E12" s="1"/>
      <c r="F12" s="1">
        <v>6604</v>
      </c>
    </row>
    <row r="13" spans="1:6" ht="17" thickBot="1" x14ac:dyDescent="0.25">
      <c r="D13" t="s">
        <v>72</v>
      </c>
      <c r="E13" s="1"/>
      <c r="F13" s="1">
        <v>3200</v>
      </c>
    </row>
    <row r="14" spans="1:6" x14ac:dyDescent="0.2">
      <c r="C14" s="17" t="s">
        <v>73</v>
      </c>
      <c r="D14" s="17"/>
      <c r="E14" s="18">
        <f>SUM(F15:F18)</f>
        <v>-1913</v>
      </c>
      <c r="F14" s="18"/>
    </row>
    <row r="15" spans="1:6" x14ac:dyDescent="0.2">
      <c r="D15" t="s">
        <v>74</v>
      </c>
      <c r="E15" s="1"/>
      <c r="F15" s="1">
        <v>0</v>
      </c>
    </row>
    <row r="16" spans="1:6" x14ac:dyDescent="0.2">
      <c r="D16" t="s">
        <v>75</v>
      </c>
      <c r="E16" s="1"/>
      <c r="F16" s="1">
        <v>-1550</v>
      </c>
    </row>
    <row r="17" spans="1:6" x14ac:dyDescent="0.2">
      <c r="D17" t="s">
        <v>76</v>
      </c>
      <c r="E17" s="1"/>
      <c r="F17" s="1">
        <v>-363</v>
      </c>
    </row>
    <row r="18" spans="1:6" ht="17" thickBot="1" x14ac:dyDescent="0.25">
      <c r="C18" s="11"/>
      <c r="D18" s="11" t="s">
        <v>77</v>
      </c>
      <c r="E18" s="12"/>
      <c r="F18" s="12">
        <v>0</v>
      </c>
    </row>
    <row r="19" spans="1:6" ht="17" thickTop="1" x14ac:dyDescent="0.2">
      <c r="C19" s="13" t="s">
        <v>78</v>
      </c>
      <c r="D19" s="13"/>
      <c r="E19" s="14">
        <f>E5+E6+E11+E14</f>
        <v>42138</v>
      </c>
      <c r="F19" s="14"/>
    </row>
    <row r="20" spans="1:6" ht="17" thickBot="1" x14ac:dyDescent="0.25">
      <c r="C20" s="15" t="s">
        <v>79</v>
      </c>
      <c r="D20" s="15"/>
      <c r="E20" s="16">
        <f>E5-E19</f>
        <v>-17138</v>
      </c>
      <c r="F20" s="16"/>
    </row>
    <row r="21" spans="1:6" ht="17" thickTop="1" x14ac:dyDescent="0.2">
      <c r="C21" s="7"/>
      <c r="D21" s="7"/>
      <c r="E21" s="19"/>
      <c r="F21" s="19"/>
    </row>
    <row r="23" spans="1:6" x14ac:dyDescent="0.2">
      <c r="A23" s="7" t="s">
        <v>82</v>
      </c>
      <c r="C23" s="8"/>
      <c r="D23" s="8"/>
      <c r="E23" s="8" t="s">
        <v>81</v>
      </c>
      <c r="F23" s="8" t="s">
        <v>64</v>
      </c>
    </row>
    <row r="24" spans="1:6" ht="17" thickBot="1" x14ac:dyDescent="0.25">
      <c r="C24" s="8" t="s">
        <v>63</v>
      </c>
      <c r="D24" s="8" t="s">
        <v>64</v>
      </c>
      <c r="E24" s="8" t="s">
        <v>80</v>
      </c>
      <c r="F24" s="8" t="s">
        <v>80</v>
      </c>
    </row>
    <row r="25" spans="1:6" ht="18" thickTop="1" thickBot="1" x14ac:dyDescent="0.25">
      <c r="C25" s="9" t="s">
        <v>62</v>
      </c>
      <c r="D25" s="9"/>
      <c r="E25" s="10">
        <v>80000</v>
      </c>
      <c r="F25" s="10"/>
    </row>
    <row r="26" spans="1:6" x14ac:dyDescent="0.2">
      <c r="C26" s="17" t="s">
        <v>65</v>
      </c>
      <c r="D26" s="17"/>
      <c r="E26" s="18">
        <v>0</v>
      </c>
      <c r="F26" s="18"/>
    </row>
    <row r="27" spans="1:6" x14ac:dyDescent="0.2">
      <c r="D27" t="s">
        <v>66</v>
      </c>
      <c r="E27" s="1"/>
      <c r="F27" s="1">
        <v>0</v>
      </c>
    </row>
    <row r="28" spans="1:6" x14ac:dyDescent="0.2">
      <c r="D28" t="s">
        <v>67</v>
      </c>
      <c r="E28" s="1"/>
      <c r="F28" s="1">
        <v>0</v>
      </c>
    </row>
    <row r="29" spans="1:6" x14ac:dyDescent="0.2">
      <c r="D29" t="s">
        <v>68</v>
      </c>
      <c r="E29" s="1"/>
      <c r="F29" s="1">
        <v>0</v>
      </c>
    </row>
    <row r="30" spans="1:6" ht="17" thickBot="1" x14ac:dyDescent="0.25">
      <c r="D30" t="s">
        <v>69</v>
      </c>
      <c r="E30" s="1"/>
      <c r="F30" s="1">
        <v>0</v>
      </c>
    </row>
    <row r="31" spans="1:6" x14ac:dyDescent="0.2">
      <c r="C31" s="17" t="s">
        <v>70</v>
      </c>
      <c r="D31" s="17"/>
      <c r="E31" s="18">
        <v>0</v>
      </c>
      <c r="F31" s="18"/>
    </row>
    <row r="32" spans="1:6" x14ac:dyDescent="0.2">
      <c r="D32" t="s">
        <v>71</v>
      </c>
      <c r="E32" s="1"/>
      <c r="F32" s="1">
        <v>0</v>
      </c>
    </row>
    <row r="33" spans="1:6" ht="17" thickBot="1" x14ac:dyDescent="0.25">
      <c r="D33" t="s">
        <v>72</v>
      </c>
      <c r="E33" s="1"/>
      <c r="F33" s="1">
        <v>0</v>
      </c>
    </row>
    <row r="34" spans="1:6" x14ac:dyDescent="0.2">
      <c r="C34" s="17" t="s">
        <v>73</v>
      </c>
      <c r="D34" s="17"/>
      <c r="E34" s="18">
        <f>SUM(F35:F38)</f>
        <v>-10394</v>
      </c>
      <c r="F34" s="18"/>
    </row>
    <row r="35" spans="1:6" x14ac:dyDescent="0.2">
      <c r="D35" t="s">
        <v>74</v>
      </c>
      <c r="E35" s="1"/>
      <c r="F35" s="1">
        <v>-1636</v>
      </c>
    </row>
    <row r="36" spans="1:6" x14ac:dyDescent="0.2">
      <c r="D36" t="s">
        <v>75</v>
      </c>
      <c r="E36" s="1"/>
      <c r="F36" s="1">
        <v>-4960</v>
      </c>
    </row>
    <row r="37" spans="1:6" x14ac:dyDescent="0.2">
      <c r="D37" t="s">
        <v>76</v>
      </c>
      <c r="E37" s="1"/>
      <c r="F37" s="1">
        <v>-1160</v>
      </c>
    </row>
    <row r="38" spans="1:6" ht="17" thickBot="1" x14ac:dyDescent="0.25">
      <c r="C38" s="11"/>
      <c r="D38" s="11" t="s">
        <v>77</v>
      </c>
      <c r="E38" s="12"/>
      <c r="F38" s="12">
        <v>-2638</v>
      </c>
    </row>
    <row r="39" spans="1:6" ht="17" thickTop="1" x14ac:dyDescent="0.2">
      <c r="C39" s="13" t="s">
        <v>78</v>
      </c>
      <c r="D39" s="13"/>
      <c r="E39" s="14">
        <f>E25+E26+E31+E34</f>
        <v>69606</v>
      </c>
      <c r="F39" s="14"/>
    </row>
    <row r="40" spans="1:6" ht="17" thickBot="1" x14ac:dyDescent="0.25">
      <c r="C40" s="15" t="s">
        <v>79</v>
      </c>
      <c r="D40" s="15"/>
      <c r="E40" s="16">
        <f>E25-E39</f>
        <v>10394</v>
      </c>
      <c r="F40" s="16"/>
    </row>
    <row r="41" spans="1:6" ht="17" thickTop="1" x14ac:dyDescent="0.2"/>
    <row r="43" spans="1:6" x14ac:dyDescent="0.2">
      <c r="A43" s="7" t="s">
        <v>83</v>
      </c>
      <c r="C43" s="8"/>
      <c r="D43" s="8"/>
      <c r="E43" s="8" t="s">
        <v>81</v>
      </c>
      <c r="F43" s="8" t="s">
        <v>64</v>
      </c>
    </row>
    <row r="44" spans="1:6" ht="17" thickBot="1" x14ac:dyDescent="0.25">
      <c r="C44" s="8" t="s">
        <v>63</v>
      </c>
      <c r="D44" s="8" t="s">
        <v>64</v>
      </c>
      <c r="E44" s="8" t="s">
        <v>80</v>
      </c>
      <c r="F44" s="8" t="s">
        <v>80</v>
      </c>
    </row>
    <row r="45" spans="1:6" ht="18" thickTop="1" thickBot="1" x14ac:dyDescent="0.25">
      <c r="C45" s="9" t="s">
        <v>62</v>
      </c>
      <c r="D45" s="9"/>
      <c r="E45" s="10">
        <v>200000</v>
      </c>
      <c r="F45" s="10"/>
    </row>
    <row r="46" spans="1:6" x14ac:dyDescent="0.2">
      <c r="C46" s="17" t="s">
        <v>65</v>
      </c>
      <c r="D46" s="17"/>
      <c r="E46" s="18">
        <v>0</v>
      </c>
      <c r="F46" s="18"/>
    </row>
    <row r="47" spans="1:6" x14ac:dyDescent="0.2">
      <c r="D47" t="s">
        <v>66</v>
      </c>
      <c r="E47" s="1"/>
      <c r="F47" s="1">
        <v>0</v>
      </c>
    </row>
    <row r="48" spans="1:6" x14ac:dyDescent="0.2">
      <c r="D48" t="s">
        <v>67</v>
      </c>
      <c r="E48" s="1"/>
      <c r="F48" s="1">
        <v>0</v>
      </c>
    </row>
    <row r="49" spans="3:6" x14ac:dyDescent="0.2">
      <c r="D49" t="s">
        <v>68</v>
      </c>
      <c r="E49" s="1"/>
      <c r="F49" s="1">
        <v>0</v>
      </c>
    </row>
    <row r="50" spans="3:6" ht="17" thickBot="1" x14ac:dyDescent="0.25">
      <c r="D50" t="s">
        <v>69</v>
      </c>
      <c r="E50" s="1"/>
      <c r="F50" s="1">
        <v>0</v>
      </c>
    </row>
    <row r="51" spans="3:6" x14ac:dyDescent="0.2">
      <c r="C51" s="17" t="s">
        <v>70</v>
      </c>
      <c r="D51" s="17"/>
      <c r="E51" s="18">
        <v>0</v>
      </c>
      <c r="F51" s="18"/>
    </row>
    <row r="52" spans="3:6" x14ac:dyDescent="0.2">
      <c r="D52" t="s">
        <v>71</v>
      </c>
      <c r="E52" s="1"/>
      <c r="F52" s="1">
        <v>0</v>
      </c>
    </row>
    <row r="53" spans="3:6" ht="17" thickBot="1" x14ac:dyDescent="0.25">
      <c r="D53" t="s">
        <v>72</v>
      </c>
      <c r="E53" s="1"/>
      <c r="F53" s="1">
        <v>0</v>
      </c>
    </row>
    <row r="54" spans="3:6" x14ac:dyDescent="0.2">
      <c r="C54" s="17" t="s">
        <v>73</v>
      </c>
      <c r="D54" s="17"/>
      <c r="E54" s="18">
        <f>SUM(F55:F58)</f>
        <v>-49495</v>
      </c>
      <c r="F54" s="18"/>
    </row>
    <row r="55" spans="3:6" x14ac:dyDescent="0.2">
      <c r="D55" t="s">
        <v>74</v>
      </c>
      <c r="E55" s="1"/>
      <c r="F55" s="1">
        <v>-23715</v>
      </c>
    </row>
    <row r="56" spans="3:6" x14ac:dyDescent="0.2">
      <c r="D56" t="s">
        <v>75</v>
      </c>
      <c r="E56" s="1"/>
      <c r="F56" s="1">
        <v>-12400</v>
      </c>
    </row>
    <row r="57" spans="3:6" x14ac:dyDescent="0.2">
      <c r="D57" t="s">
        <v>76</v>
      </c>
      <c r="E57" s="1"/>
      <c r="F57" s="1">
        <v>-2900</v>
      </c>
    </row>
    <row r="58" spans="3:6" ht="17" thickBot="1" x14ac:dyDescent="0.25">
      <c r="C58" s="11"/>
      <c r="D58" s="11" t="s">
        <v>77</v>
      </c>
      <c r="E58" s="12"/>
      <c r="F58" s="12">
        <v>-10480</v>
      </c>
    </row>
    <row r="59" spans="3:6" ht="17" thickTop="1" x14ac:dyDescent="0.2">
      <c r="C59" s="13" t="s">
        <v>78</v>
      </c>
      <c r="D59" s="13"/>
      <c r="E59" s="14">
        <f>E45+E46+E51+E54</f>
        <v>150505</v>
      </c>
      <c r="F59" s="14"/>
    </row>
    <row r="60" spans="3:6" ht="17" thickBot="1" x14ac:dyDescent="0.25">
      <c r="C60" s="15" t="s">
        <v>79</v>
      </c>
      <c r="D60" s="15"/>
      <c r="E60" s="16">
        <f>E45-E59</f>
        <v>49495</v>
      </c>
      <c r="F60" s="16"/>
    </row>
    <row r="61" spans="3:6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2</vt:lpstr>
      <vt:lpstr>Table 3</vt:lpstr>
      <vt:lpstr>Cut 4.65</vt:lpstr>
      <vt:lpstr>Table 5</vt:lpstr>
      <vt:lpstr>Table 6</vt:lpstr>
      <vt:lpstr>Table 7 plus Baseline HH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2023-02-04T22:06:10Z</dcterms:created>
  <dcterms:modified xsi:type="dcterms:W3CDTF">2023-03-02T08:41:26Z</dcterms:modified>
</cp:coreProperties>
</file>